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diringe\Desktop\Derniers Excels retenus 2018\"/>
    </mc:Choice>
  </mc:AlternateContent>
  <bookViews>
    <workbookView xWindow="0" yWindow="0" windowWidth="25125" windowHeight="13020"/>
  </bookViews>
  <sheets>
    <sheet name="Baisse impot 2020" sheetId="2" r:id="rId1"/>
    <sheet name="impot2020" sheetId="3" r:id="rId2"/>
    <sheet name="Corrige ton impôt2" sheetId="4" r:id="rId3"/>
    <sheet name="Corrige ton impôt" sheetId="1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2" l="1"/>
  <c r="C5" i="3"/>
  <c r="C4" i="3"/>
  <c r="A19" i="4"/>
  <c r="C8" i="3" l="1"/>
  <c r="D28" i="3" s="1"/>
  <c r="C3" i="3"/>
  <c r="O30" i="4" s="1"/>
  <c r="I35" i="4"/>
  <c r="I15" i="4"/>
  <c r="I14" i="4"/>
  <c r="I13" i="4"/>
  <c r="C37" i="4"/>
  <c r="B37" i="4"/>
  <c r="C36" i="4"/>
  <c r="E36" i="4" s="1"/>
  <c r="B36" i="4"/>
  <c r="C34" i="4"/>
  <c r="E34" i="4" s="1"/>
  <c r="B34" i="4"/>
  <c r="C33" i="4"/>
  <c r="B33" i="4"/>
  <c r="D29" i="4"/>
  <c r="D27" i="4"/>
  <c r="E25" i="4"/>
  <c r="D25" i="4"/>
  <c r="D9" i="4"/>
  <c r="E8" i="4"/>
  <c r="E7" i="4"/>
  <c r="D7" i="4"/>
  <c r="E6" i="4"/>
  <c r="E5" i="4"/>
  <c r="D5" i="4"/>
  <c r="J3" i="4" l="1"/>
  <c r="I10" i="4" s="1"/>
  <c r="D26" i="3"/>
  <c r="E37" i="4"/>
  <c r="F8" i="4"/>
  <c r="F7" i="4"/>
  <c r="F36" i="4"/>
  <c r="F37" i="4"/>
  <c r="I15" i="1"/>
  <c r="I13" i="1"/>
  <c r="A19" i="1"/>
  <c r="J3" i="1"/>
  <c r="I33" i="1" s="1"/>
  <c r="I35" i="1"/>
  <c r="I33" i="4" l="1"/>
  <c r="I10" i="1"/>
  <c r="C37" i="1"/>
  <c r="I14" i="1"/>
  <c r="O30" i="1" l="1"/>
  <c r="C10" i="2" s="1"/>
  <c r="C10" i="3" s="1"/>
  <c r="C34" i="1"/>
  <c r="C36" i="1"/>
  <c r="B37" i="1"/>
  <c r="E37" i="1" s="1"/>
  <c r="B34" i="1"/>
  <c r="B36" i="1"/>
  <c r="B33" i="1"/>
  <c r="C33" i="1"/>
  <c r="M29" i="2" l="1"/>
  <c r="P29" i="2"/>
  <c r="J4" i="4"/>
  <c r="J4" i="1"/>
  <c r="I36" i="1" s="1"/>
  <c r="E36" i="1"/>
  <c r="E34" i="1"/>
  <c r="F36" i="1" s="1"/>
  <c r="F37" i="1"/>
  <c r="I16" i="4" l="1"/>
  <c r="I17" i="4" s="1"/>
  <c r="I36" i="4"/>
  <c r="I37" i="4" s="1"/>
  <c r="C28" i="1"/>
  <c r="I16" i="1"/>
  <c r="I17" i="1" s="1"/>
  <c r="D29" i="2"/>
  <c r="D27" i="2"/>
  <c r="I37" i="1"/>
  <c r="C25" i="1"/>
  <c r="B26" i="1"/>
  <c r="B26" i="4"/>
  <c r="B28" i="4"/>
  <c r="C28" i="4"/>
  <c r="C26" i="4"/>
  <c r="C25" i="4"/>
  <c r="C27" i="4"/>
  <c r="B27" i="4"/>
  <c r="C26" i="1"/>
  <c r="C27" i="1"/>
  <c r="B27" i="1"/>
  <c r="B28" i="1"/>
  <c r="D29" i="1"/>
  <c r="D27" i="1"/>
  <c r="D26" i="1"/>
  <c r="E25" i="1"/>
  <c r="D25" i="1"/>
  <c r="E26" i="4" l="1"/>
  <c r="E27" i="4"/>
  <c r="F27" i="4" s="1"/>
  <c r="I34" i="4"/>
  <c r="I39" i="4" s="1"/>
  <c r="E28" i="4"/>
  <c r="I11" i="4"/>
  <c r="I20" i="4" s="1"/>
  <c r="E27" i="1"/>
  <c r="E28" i="1"/>
  <c r="E26" i="1"/>
  <c r="I11" i="1" s="1"/>
  <c r="I20" i="1" s="1"/>
  <c r="I21" i="1" s="1"/>
  <c r="E8" i="1"/>
  <c r="E7" i="1"/>
  <c r="E5" i="1"/>
  <c r="D9" i="1"/>
  <c r="D7" i="1"/>
  <c r="D6" i="1"/>
  <c r="E6" i="1" s="1"/>
  <c r="D5" i="1"/>
  <c r="I40" i="4" l="1"/>
  <c r="I41" i="4" s="1"/>
  <c r="J12" i="2"/>
  <c r="I34" i="1"/>
  <c r="I39" i="1" s="1"/>
  <c r="F28" i="4"/>
  <c r="I21" i="4"/>
  <c r="J13" i="2" s="1"/>
  <c r="C12" i="3"/>
  <c r="F28" i="1"/>
  <c r="F8" i="1"/>
  <c r="F7" i="1"/>
  <c r="F27" i="1"/>
  <c r="I40" i="1" l="1"/>
  <c r="I41" i="1" s="1"/>
  <c r="D12" i="2"/>
  <c r="I22" i="4"/>
  <c r="C15" i="3" s="1"/>
  <c r="J15" i="2" s="1"/>
  <c r="C13" i="3"/>
  <c r="D22" i="3" l="1"/>
  <c r="D23" i="3" s="1"/>
  <c r="E26" i="3"/>
  <c r="D27" i="3" s="1"/>
  <c r="E28" i="3"/>
  <c r="D29" i="3" s="1"/>
  <c r="I22" i="1"/>
  <c r="D22" i="2" s="1"/>
  <c r="D13" i="2"/>
  <c r="E29" i="2" l="1"/>
  <c r="K33" i="2" s="1"/>
  <c r="E27" i="2"/>
  <c r="J30" i="2" s="1"/>
  <c r="K32" i="2"/>
  <c r="O29" i="2" s="1"/>
  <c r="J29" i="2"/>
  <c r="N29" i="2" s="1"/>
  <c r="D14" i="2" l="1"/>
  <c r="D36" i="2" s="1"/>
  <c r="D15" i="2" s="1"/>
  <c r="D30" i="2" l="1"/>
  <c r="I16" i="2"/>
  <c r="D28" i="2"/>
  <c r="D23" i="2"/>
  <c r="D24" i="2" s="1"/>
</calcChain>
</file>

<file path=xl/sharedStrings.xml><?xml version="1.0" encoding="utf-8"?>
<sst xmlns="http://schemas.openxmlformats.org/spreadsheetml/2006/main" count="136" uniqueCount="68">
  <si>
    <t>Plafonnement quotient familial</t>
  </si>
  <si>
    <t>demi-part générale</t>
  </si>
  <si>
    <t>Personnes seules élevé pendant cinq ans</t>
  </si>
  <si>
    <t>part entière premier enfant charge si on élève seul</t>
  </si>
  <si>
    <t>invalidité, combattant</t>
  </si>
  <si>
    <t>maintien quotient conjugal veuf</t>
  </si>
  <si>
    <t>Revenu net imposable</t>
  </si>
  <si>
    <t>nombre de part</t>
  </si>
  <si>
    <t>Ir selon parts</t>
  </si>
  <si>
    <t>Ir une part</t>
  </si>
  <si>
    <t>IR plafonné</t>
  </si>
  <si>
    <t>Impôt retenu</t>
  </si>
  <si>
    <t>CELIBATAIRE DIVORCE VEUF</t>
  </si>
  <si>
    <t>COUPLE PACS</t>
  </si>
  <si>
    <t>Ir deux parts</t>
  </si>
  <si>
    <t>demi-parts au dessus de un</t>
  </si>
  <si>
    <t>demi-parts au dessus de deux</t>
  </si>
  <si>
    <t>Décôte</t>
  </si>
  <si>
    <t>Impôt final</t>
  </si>
  <si>
    <t>Impôt sur le revenu</t>
  </si>
  <si>
    <t>Situation familiale</t>
  </si>
  <si>
    <t>Nombre de parts</t>
  </si>
  <si>
    <t>Impôt avant décôte</t>
  </si>
  <si>
    <t>Célibataire-Divorcé-Veuf</t>
  </si>
  <si>
    <t>TMI 2017 avec parts</t>
  </si>
  <si>
    <t>Marié-Pacsé</t>
  </si>
  <si>
    <t>Nombre d'enfants à charge</t>
  </si>
  <si>
    <t>Situation particulière</t>
  </si>
  <si>
    <t>Case T</t>
  </si>
  <si>
    <t>Case L</t>
  </si>
  <si>
    <t>Handicap</t>
  </si>
  <si>
    <t>Enfant élevé seul (L)</t>
  </si>
  <si>
    <t>Parent isolé (T)</t>
  </si>
  <si>
    <t>Invalidité</t>
  </si>
  <si>
    <t>La case L et la case T ne sont pas possibles si vous êtes mariés/pacsés. Cliquez ici pour lire notre article expliquant si vous pouvez bénéficiez de l'avantage fiscal pour la case T ou la case L si vous vivez seul.</t>
  </si>
  <si>
    <t>Revenu net imposable (RNI)</t>
  </si>
  <si>
    <t>Le revenu imposable est le revenu après avoir enlevé les déductions ("salaires - 10%/frais réels"; "loyers - abattements"; "dividendes - 40%"...). Ce n'est pas le revenu fiscal de référence. Retrouvez le détail du RNI sur cet article.</t>
  </si>
  <si>
    <t>https://www.corrigetonimpot.fr/</t>
  </si>
  <si>
    <t>Remplir les cases bleues uniquement!</t>
  </si>
  <si>
    <t>Les réductions et crédits d'impôt s'imputeront sur l'impôt final en rouge. Si vous avez un revenu fiscal de référence inférieur à 20 705 € (41 410 € pour un couple), un abattement supplémentaire de l'ordre de 20% s'appliquera.</t>
  </si>
  <si>
    <t>TMI 2019</t>
  </si>
  <si>
    <t>Si votre impôt est inférieur à 1 594 € (personne seule) ou 2 626 € (couple), une décote est appliquée avant l'impôt final.</t>
  </si>
  <si>
    <t>Simulateur de l'impôt 2019 sur les revenus 2018</t>
  </si>
  <si>
    <t>Réduction sous condition revenu</t>
  </si>
  <si>
    <t>Impôt potentiel</t>
  </si>
  <si>
    <t>si RNI inférieur 18 985 célibataire et 37 970 couple</t>
  </si>
  <si>
    <t>Réduction sous condition revenu célib</t>
  </si>
  <si>
    <t>Impot célib entre 18 985 et 21 037</t>
  </si>
  <si>
    <t>potentiel couple entre 37 970 et 42 074</t>
  </si>
  <si>
    <t>Réduction 20%</t>
  </si>
  <si>
    <t>Impôt sur le revenu 2019</t>
  </si>
  <si>
    <t>Impôt sur le revenu 2020</t>
  </si>
  <si>
    <t>-</t>
  </si>
  <si>
    <t>celibataire</t>
  </si>
  <si>
    <t>couple</t>
  </si>
  <si>
    <t>inférieur à 18 985 + 3 797 par 1/2 part</t>
  </si>
  <si>
    <t>entre 18 985 et 21 037 + 3 797 par 1/2 part</t>
  </si>
  <si>
    <t>superieur à 21 037 + 3 797 par 1/2 part</t>
  </si>
  <si>
    <t>inférieur à 37 970 + 3 797 par 1/2 part</t>
  </si>
  <si>
    <t>entre 37970 et 42074 + 3 797 par 1/2 part</t>
  </si>
  <si>
    <t>superieur à 42074 + 3 797 par 1/2 part</t>
  </si>
  <si>
    <t>impot 2019</t>
  </si>
  <si>
    <t>Simulateur de la baisse de l'impôt 2020</t>
  </si>
  <si>
    <t>Calcul de l'impôt 2019</t>
  </si>
  <si>
    <t>Calcul de l'impôt 2020</t>
  </si>
  <si>
    <t>Les réductions et crédits d'impôt s'imputeront sur l'impôt final. Seuls les crédits d'impôts sont rendus si l'impôt est nul.</t>
  </si>
  <si>
    <t xml:space="preserve">La réforme 2020 fera baisser votre impôt de </t>
  </si>
  <si>
    <t>CORRIGE TON IMPOT.FR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</si>
</sst>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i/>
      <sz val="14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60"/>
      <color theme="0" tint="-4.9989318521683403E-2"/>
      <name val="Calibri"/>
      <family val="2"/>
      <scheme val="minor"/>
    </font>
    <font>
      <sz val="60"/>
      <color theme="0" tint="-4.9989318521683403E-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1"/>
      <color rgb="FFF9F9F9"/>
      <name val="Calibri"/>
      <family val="2"/>
      <scheme val="minor"/>
    </font>
    <font>
      <b/>
      <sz val="11"/>
      <color rgb="FFF9F9F9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u/>
      <sz val="14"/>
      <color rgb="FF0070C0"/>
      <name val="Calibri"/>
      <family val="2"/>
      <scheme val="minor"/>
    </font>
    <font>
      <b/>
      <u/>
      <sz val="14"/>
      <color theme="5" tint="-0.249977111117893"/>
      <name val="Calibri"/>
      <family val="2"/>
      <scheme val="minor"/>
    </font>
    <font>
      <b/>
      <sz val="22"/>
      <color rgb="FFF9F9F9"/>
      <name val="Calibri"/>
      <family val="2"/>
      <scheme val="minor"/>
    </font>
    <font>
      <u/>
      <sz val="60"/>
      <color rgb="FFF9F9F9"/>
      <name val="Calibri"/>
      <family val="2"/>
      <scheme val="minor"/>
    </font>
    <font>
      <sz val="60"/>
      <color rgb="FFF9F9F9"/>
      <name val="Calibri"/>
      <family val="2"/>
      <scheme val="minor"/>
    </font>
    <font>
      <b/>
      <sz val="12"/>
      <color rgb="FFF9F9F9"/>
      <name val="Calibri"/>
      <family val="2"/>
      <scheme val="minor"/>
    </font>
    <font>
      <i/>
      <sz val="14"/>
      <color rgb="FFF9F9F9"/>
      <name val="Calibri"/>
      <family val="2"/>
      <scheme val="minor"/>
    </font>
    <font>
      <b/>
      <sz val="14"/>
      <color rgb="FFF9F9F9"/>
      <name val="Calibri"/>
      <family val="2"/>
      <scheme val="minor"/>
    </font>
    <font>
      <sz val="14"/>
      <color rgb="FFF9F9F9"/>
      <name val="Calibri"/>
      <family val="2"/>
      <scheme val="minor"/>
    </font>
    <font>
      <i/>
      <sz val="12"/>
      <color rgb="FFF9F9F9"/>
      <name val="Calibri"/>
      <family val="2"/>
      <scheme val="minor"/>
    </font>
    <font>
      <i/>
      <sz val="11"/>
      <color rgb="FFF9F9F9"/>
      <name val="Calibri"/>
      <family val="2"/>
      <scheme val="minor"/>
    </font>
    <font>
      <b/>
      <sz val="16"/>
      <color rgb="FFF9F9F9"/>
      <name val="Calibri"/>
      <family val="2"/>
      <scheme val="minor"/>
    </font>
    <font>
      <i/>
      <sz val="10"/>
      <color rgb="FFF9F9F9"/>
      <name val="Calibri"/>
      <family val="2"/>
      <scheme val="minor"/>
    </font>
    <font>
      <b/>
      <sz val="7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05">
    <xf numFmtId="0" fontId="0" fillId="0" borderId="0" xfId="0"/>
    <xf numFmtId="0" fontId="0" fillId="4" borderId="0" xfId="0" applyFill="1" applyProtection="1">
      <protection hidden="1"/>
    </xf>
    <xf numFmtId="0" fontId="0" fillId="4" borderId="4" xfId="0" applyFill="1" applyBorder="1" applyProtection="1">
      <protection hidden="1"/>
    </xf>
    <xf numFmtId="0" fontId="0" fillId="4" borderId="0" xfId="0" applyFill="1" applyBorder="1" applyProtection="1">
      <protection hidden="1"/>
    </xf>
    <xf numFmtId="0" fontId="0" fillId="4" borderId="5" xfId="0" applyFill="1" applyBorder="1" applyProtection="1">
      <protection hidden="1"/>
    </xf>
    <xf numFmtId="0" fontId="5" fillId="4" borderId="4" xfId="0" applyFont="1" applyFill="1" applyBorder="1" applyAlignment="1" applyProtection="1">
      <alignment horizontal="left" vertical="center"/>
      <protection hidden="1"/>
    </xf>
    <xf numFmtId="0" fontId="0" fillId="4" borderId="0" xfId="0" applyFill="1" applyBorder="1" applyAlignment="1" applyProtection="1">
      <alignment horizontal="left" vertic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2" fillId="4" borderId="4" xfId="0" applyFont="1" applyFill="1" applyBorder="1" applyAlignment="1" applyProtection="1">
      <alignment horizontal="left" vertical="center"/>
      <protection hidden="1"/>
    </xf>
    <xf numFmtId="0" fontId="0" fillId="4" borderId="0" xfId="0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6" fillId="3" borderId="9" xfId="0" applyFont="1" applyFill="1" applyBorder="1" applyAlignment="1" applyProtection="1">
      <alignment horizontal="center" vertical="center"/>
      <protection locked="0" hidden="1"/>
    </xf>
    <xf numFmtId="0" fontId="6" fillId="3" borderId="10" xfId="0" applyFont="1" applyFill="1" applyBorder="1" applyAlignment="1" applyProtection="1">
      <alignment horizontal="center" vertical="center"/>
      <protection locked="0" hidden="1"/>
    </xf>
    <xf numFmtId="0" fontId="3" fillId="4" borderId="0" xfId="0" applyFont="1" applyFill="1" applyBorder="1" applyAlignment="1" applyProtection="1">
      <alignment horizontal="center" vertical="center"/>
      <protection hidden="1"/>
    </xf>
    <xf numFmtId="0" fontId="3" fillId="4" borderId="5" xfId="0" applyFont="1" applyFill="1" applyBorder="1" applyAlignment="1" applyProtection="1">
      <alignment horizontal="center" vertical="center"/>
      <protection hidden="1"/>
    </xf>
    <xf numFmtId="0" fontId="11" fillId="4" borderId="0" xfId="0" applyFont="1" applyFill="1" applyAlignment="1" applyProtection="1">
      <alignment horizontal="center" vertical="center"/>
      <protection hidden="1"/>
    </xf>
    <xf numFmtId="0" fontId="14" fillId="2" borderId="0" xfId="0" applyFont="1" applyFill="1" applyProtection="1">
      <protection hidden="1"/>
    </xf>
    <xf numFmtId="0" fontId="4" fillId="4" borderId="11" xfId="0" applyFont="1" applyFill="1" applyBorder="1" applyAlignment="1" applyProtection="1">
      <alignment horizontal="center"/>
      <protection hidden="1"/>
    </xf>
    <xf numFmtId="0" fontId="4" fillId="4" borderId="12" xfId="0" applyFont="1" applyFill="1" applyBorder="1" applyAlignment="1" applyProtection="1">
      <alignment horizontal="center"/>
      <protection hidden="1"/>
    </xf>
    <xf numFmtId="0" fontId="4" fillId="4" borderId="13" xfId="0" applyFont="1" applyFill="1" applyBorder="1" applyAlignment="1" applyProtection="1">
      <alignment horizontal="center"/>
      <protection hidden="1"/>
    </xf>
    <xf numFmtId="0" fontId="10" fillId="4" borderId="4" xfId="2" applyFont="1" applyFill="1" applyBorder="1" applyAlignment="1" applyProtection="1">
      <alignment horizontal="center" vertical="center"/>
      <protection hidden="1"/>
    </xf>
    <xf numFmtId="0" fontId="11" fillId="4" borderId="0" xfId="0" applyFont="1" applyFill="1" applyAlignment="1" applyProtection="1">
      <alignment horizontal="center" vertical="center"/>
      <protection hidden="1"/>
    </xf>
    <xf numFmtId="0" fontId="11" fillId="4" borderId="4" xfId="0" applyFont="1" applyFill="1" applyBorder="1" applyAlignment="1" applyProtection="1">
      <alignment horizontal="center" vertical="center"/>
      <protection hidden="1"/>
    </xf>
    <xf numFmtId="0" fontId="13" fillId="3" borderId="0" xfId="0" applyFont="1" applyFill="1" applyBorder="1" applyAlignment="1" applyProtection="1">
      <alignment horizontal="center" vertical="center"/>
      <protection hidden="1"/>
    </xf>
    <xf numFmtId="0" fontId="13" fillId="3" borderId="5" xfId="0" applyFont="1" applyFill="1" applyBorder="1" applyAlignment="1" applyProtection="1">
      <alignment horizontal="center" vertical="center"/>
      <protection hidden="1"/>
    </xf>
    <xf numFmtId="0" fontId="12" fillId="4" borderId="14" xfId="2" applyFont="1" applyFill="1" applyBorder="1" applyAlignment="1" applyProtection="1">
      <alignment horizontal="center" vertical="center" wrapText="1"/>
      <protection hidden="1"/>
    </xf>
    <xf numFmtId="0" fontId="12" fillId="4" borderId="0" xfId="2" applyFont="1" applyFill="1" applyBorder="1" applyAlignment="1" applyProtection="1">
      <alignment horizontal="center" vertical="center" wrapText="1"/>
      <protection hidden="1"/>
    </xf>
    <xf numFmtId="0" fontId="12" fillId="4" borderId="5" xfId="2" applyFont="1" applyFill="1" applyBorder="1" applyAlignment="1" applyProtection="1">
      <alignment horizontal="center" vertical="center" wrapText="1"/>
      <protection hidden="1"/>
    </xf>
    <xf numFmtId="0" fontId="15" fillId="4" borderId="0" xfId="0" applyFont="1" applyFill="1" applyBorder="1" applyAlignment="1" applyProtection="1">
      <alignment horizontal="left" vertical="center"/>
      <protection hidden="1"/>
    </xf>
    <xf numFmtId="0" fontId="16" fillId="4" borderId="0" xfId="0" applyFont="1" applyFill="1" applyBorder="1" applyProtection="1">
      <protection hidden="1"/>
    </xf>
    <xf numFmtId="164" fontId="16" fillId="4" borderId="0" xfId="0" applyNumberFormat="1" applyFont="1" applyFill="1" applyBorder="1" applyProtection="1">
      <protection hidden="1"/>
    </xf>
    <xf numFmtId="164" fontId="17" fillId="4" borderId="0" xfId="0" applyNumberFormat="1" applyFont="1" applyFill="1" applyBorder="1" applyProtection="1">
      <protection hidden="1"/>
    </xf>
    <xf numFmtId="0" fontId="16" fillId="4" borderId="0" xfId="0" applyFont="1" applyFill="1" applyProtection="1">
      <protection hidden="1"/>
    </xf>
    <xf numFmtId="0" fontId="7" fillId="4" borderId="4" xfId="0" applyFont="1" applyFill="1" applyBorder="1" applyAlignment="1" applyProtection="1">
      <alignment horizontal="left" vertical="center"/>
      <protection hidden="1"/>
    </xf>
    <xf numFmtId="0" fontId="7" fillId="4" borderId="0" xfId="0" applyFont="1" applyFill="1" applyBorder="1" applyAlignment="1" applyProtection="1">
      <alignment horizontal="center" vertical="center"/>
      <protection hidden="1"/>
    </xf>
    <xf numFmtId="0" fontId="18" fillId="4" borderId="0" xfId="0" applyFont="1" applyFill="1" applyProtection="1">
      <protection hidden="1"/>
    </xf>
    <xf numFmtId="0" fontId="0" fillId="4" borderId="0" xfId="0" applyFont="1" applyFill="1" applyBorder="1" applyProtection="1">
      <protection hidden="1"/>
    </xf>
    <xf numFmtId="0" fontId="20" fillId="4" borderId="0" xfId="0" applyFont="1" applyFill="1" applyBorder="1" applyAlignment="1" applyProtection="1">
      <alignment horizontal="left" vertical="center"/>
      <protection hidden="1"/>
    </xf>
    <xf numFmtId="0" fontId="7" fillId="4" borderId="0" xfId="0" applyFont="1" applyFill="1" applyBorder="1" applyProtection="1">
      <protection hidden="1"/>
    </xf>
    <xf numFmtId="0" fontId="21" fillId="4" borderId="0" xfId="0" applyFont="1" applyFill="1" applyBorder="1" applyAlignment="1" applyProtection="1">
      <alignment horizontal="left" vertical="center"/>
      <protection hidden="1"/>
    </xf>
    <xf numFmtId="0" fontId="22" fillId="4" borderId="0" xfId="0" applyFont="1" applyFill="1" applyBorder="1" applyAlignment="1" applyProtection="1">
      <alignment horizontal="center" vertical="center"/>
      <protection hidden="1"/>
    </xf>
    <xf numFmtId="0" fontId="22" fillId="4" borderId="0" xfId="0" applyFont="1" applyFill="1" applyBorder="1" applyAlignment="1" applyProtection="1">
      <alignment horizontal="center" vertical="center"/>
      <protection hidden="1"/>
    </xf>
    <xf numFmtId="0" fontId="23" fillId="4" borderId="0" xfId="0" applyFont="1" applyFill="1" applyBorder="1" applyAlignment="1" applyProtection="1">
      <alignment horizontal="center" vertical="center"/>
      <protection hidden="1"/>
    </xf>
    <xf numFmtId="0" fontId="19" fillId="4" borderId="0" xfId="0" applyFont="1" applyFill="1" applyBorder="1" applyAlignment="1" applyProtection="1">
      <alignment horizontal="right" vertical="center"/>
      <protection hidden="1"/>
    </xf>
    <xf numFmtId="164" fontId="19" fillId="4" borderId="0" xfId="0" applyNumberFormat="1" applyFont="1" applyFill="1" applyBorder="1" applyAlignment="1" applyProtection="1">
      <alignment horizontal="left" vertical="center"/>
      <protection hidden="1"/>
    </xf>
    <xf numFmtId="0" fontId="8" fillId="4" borderId="6" xfId="0" applyFont="1" applyFill="1" applyBorder="1" applyAlignment="1" applyProtection="1">
      <alignment horizontal="center"/>
      <protection hidden="1"/>
    </xf>
    <xf numFmtId="0" fontId="8" fillId="4" borderId="7" xfId="0" applyFont="1" applyFill="1" applyBorder="1" applyAlignment="1" applyProtection="1">
      <alignment horizontal="center"/>
      <protection hidden="1"/>
    </xf>
    <xf numFmtId="0" fontId="8" fillId="4" borderId="8" xfId="0" applyFont="1" applyFill="1" applyBorder="1" applyAlignment="1" applyProtection="1">
      <alignment horizontal="center"/>
      <protection hidden="1"/>
    </xf>
    <xf numFmtId="164" fontId="20" fillId="4" borderId="0" xfId="0" applyNumberFormat="1" applyFont="1" applyFill="1" applyBorder="1" applyAlignment="1" applyProtection="1">
      <alignment horizontal="center" vertical="center"/>
      <protection hidden="1"/>
    </xf>
    <xf numFmtId="164" fontId="21" fillId="4" borderId="0" xfId="0" applyNumberFormat="1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Border="1" applyAlignment="1" applyProtection="1">
      <alignment horizontal="left" vertical="center"/>
      <protection hidden="1"/>
    </xf>
    <xf numFmtId="2" fontId="3" fillId="4" borderId="0" xfId="0" applyNumberFormat="1" applyFont="1" applyFill="1" applyBorder="1" applyAlignment="1" applyProtection="1">
      <alignment horizontal="center" vertical="center"/>
      <protection hidden="1"/>
    </xf>
    <xf numFmtId="0" fontId="17" fillId="4" borderId="1" xfId="0" applyFont="1" applyFill="1" applyBorder="1" applyAlignment="1" applyProtection="1">
      <alignment horizontal="center"/>
      <protection hidden="1"/>
    </xf>
    <xf numFmtId="0" fontId="17" fillId="4" borderId="2" xfId="0" applyFont="1" applyFill="1" applyBorder="1" applyAlignment="1" applyProtection="1">
      <alignment horizontal="center"/>
      <protection hidden="1"/>
    </xf>
    <xf numFmtId="0" fontId="17" fillId="4" borderId="3" xfId="0" applyFont="1" applyFill="1" applyBorder="1" applyAlignment="1" applyProtection="1">
      <alignment horizontal="center"/>
      <protection hidden="1"/>
    </xf>
    <xf numFmtId="0" fontId="16" fillId="4" borderId="0" xfId="0" applyFont="1" applyFill="1" applyAlignment="1" applyProtection="1">
      <alignment horizontal="center"/>
      <protection hidden="1"/>
    </xf>
    <xf numFmtId="9" fontId="16" fillId="4" borderId="0" xfId="1" applyNumberFormat="1" applyFont="1" applyFill="1" applyProtection="1">
      <protection hidden="1"/>
    </xf>
    <xf numFmtId="1" fontId="16" fillId="4" borderId="0" xfId="0" applyNumberFormat="1" applyFont="1" applyFill="1" applyProtection="1">
      <protection hidden="1"/>
    </xf>
    <xf numFmtId="0" fontId="16" fillId="4" borderId="0" xfId="0" applyFont="1" applyFill="1" applyAlignment="1" applyProtection="1">
      <alignment horizontal="center"/>
      <protection hidden="1"/>
    </xf>
    <xf numFmtId="9" fontId="16" fillId="4" borderId="0" xfId="1" applyFont="1" applyFill="1" applyProtection="1">
      <protection hidden="1"/>
    </xf>
    <xf numFmtId="0" fontId="24" fillId="4" borderId="11" xfId="0" applyFont="1" applyFill="1" applyBorder="1" applyAlignment="1" applyProtection="1">
      <alignment horizontal="center"/>
      <protection hidden="1"/>
    </xf>
    <xf numFmtId="0" fontId="24" fillId="4" borderId="12" xfId="0" applyFont="1" applyFill="1" applyBorder="1" applyAlignment="1" applyProtection="1">
      <alignment horizontal="center"/>
      <protection hidden="1"/>
    </xf>
    <xf numFmtId="0" fontId="24" fillId="4" borderId="13" xfId="0" applyFont="1" applyFill="1" applyBorder="1" applyAlignment="1" applyProtection="1">
      <alignment horizontal="center"/>
      <protection hidden="1"/>
    </xf>
    <xf numFmtId="0" fontId="25" fillId="4" borderId="4" xfId="2" applyFont="1" applyFill="1" applyBorder="1" applyAlignment="1" applyProtection="1">
      <alignment horizontal="center" vertical="center"/>
      <protection hidden="1"/>
    </xf>
    <xf numFmtId="0" fontId="26" fillId="4" borderId="0" xfId="0" applyFont="1" applyFill="1" applyAlignment="1" applyProtection="1">
      <alignment horizontal="center" vertical="center"/>
      <protection hidden="1"/>
    </xf>
    <xf numFmtId="0" fontId="16" fillId="4" borderId="4" xfId="0" applyFont="1" applyFill="1" applyBorder="1" applyProtection="1">
      <protection hidden="1"/>
    </xf>
    <xf numFmtId="0" fontId="26" fillId="4" borderId="4" xfId="0" applyFont="1" applyFill="1" applyBorder="1" applyAlignment="1" applyProtection="1">
      <alignment horizontal="center" vertical="center"/>
      <protection hidden="1"/>
    </xf>
    <xf numFmtId="0" fontId="28" fillId="4" borderId="4" xfId="0" applyFont="1" applyFill="1" applyBorder="1" applyAlignment="1" applyProtection="1">
      <alignment horizontal="left" vertical="center"/>
      <protection hidden="1"/>
    </xf>
    <xf numFmtId="0" fontId="16" fillId="4" borderId="0" xfId="0" applyFont="1" applyFill="1" applyBorder="1" applyAlignment="1" applyProtection="1">
      <alignment horizontal="left" vertical="center"/>
      <protection hidden="1"/>
    </xf>
    <xf numFmtId="0" fontId="16" fillId="4" borderId="5" xfId="0" applyFont="1" applyFill="1" applyBorder="1" applyProtection="1">
      <protection hidden="1"/>
    </xf>
    <xf numFmtId="0" fontId="16" fillId="4" borderId="14" xfId="2" applyFont="1" applyFill="1" applyBorder="1" applyAlignment="1" applyProtection="1">
      <alignment horizontal="center" vertical="center" wrapText="1"/>
      <protection hidden="1"/>
    </xf>
    <xf numFmtId="0" fontId="16" fillId="4" borderId="0" xfId="2" applyFont="1" applyFill="1" applyBorder="1" applyAlignment="1" applyProtection="1">
      <alignment horizontal="center" vertical="center" wrapText="1"/>
      <protection hidden="1"/>
    </xf>
    <xf numFmtId="0" fontId="16" fillId="4" borderId="5" xfId="2" applyFont="1" applyFill="1" applyBorder="1" applyAlignment="1" applyProtection="1">
      <alignment horizontal="center" vertical="center" wrapText="1"/>
      <protection hidden="1"/>
    </xf>
    <xf numFmtId="0" fontId="16" fillId="4" borderId="0" xfId="0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left" vertical="center"/>
      <protection hidden="1"/>
    </xf>
    <xf numFmtId="0" fontId="29" fillId="4" borderId="4" xfId="0" applyFont="1" applyFill="1" applyBorder="1" applyAlignment="1" applyProtection="1">
      <alignment horizontal="left" vertical="center"/>
      <protection hidden="1"/>
    </xf>
    <xf numFmtId="0" fontId="30" fillId="4" borderId="0" xfId="0" applyFont="1" applyFill="1" applyBorder="1" applyAlignment="1" applyProtection="1">
      <alignment horizontal="left" vertical="center"/>
      <protection hidden="1"/>
    </xf>
    <xf numFmtId="0" fontId="29" fillId="4" borderId="0" xfId="0" applyFont="1" applyFill="1" applyBorder="1" applyAlignment="1" applyProtection="1">
      <alignment horizontal="center" vertical="center"/>
      <protection hidden="1"/>
    </xf>
    <xf numFmtId="0" fontId="31" fillId="4" borderId="4" xfId="0" applyFont="1" applyFill="1" applyBorder="1" applyAlignment="1" applyProtection="1">
      <alignment horizontal="left" vertical="center"/>
      <protection hidden="1"/>
    </xf>
    <xf numFmtId="0" fontId="31" fillId="4" borderId="0" xfId="0" applyFont="1" applyFill="1" applyBorder="1" applyAlignment="1" applyProtection="1">
      <alignment horizontal="left" vertical="center"/>
      <protection hidden="1"/>
    </xf>
    <xf numFmtId="0" fontId="31" fillId="4" borderId="0" xfId="0" applyFont="1" applyFill="1" applyBorder="1" applyAlignment="1" applyProtection="1">
      <alignment horizontal="center" vertical="center"/>
      <protection hidden="1"/>
    </xf>
    <xf numFmtId="0" fontId="32" fillId="4" borderId="0" xfId="0" applyFont="1" applyFill="1" applyBorder="1" applyAlignment="1" applyProtection="1">
      <alignment horizontal="center" vertical="center"/>
      <protection hidden="1"/>
    </xf>
    <xf numFmtId="0" fontId="32" fillId="4" borderId="5" xfId="0" applyFont="1" applyFill="1" applyBorder="1" applyAlignment="1" applyProtection="1">
      <alignment horizontal="center" vertical="center"/>
      <protection hidden="1"/>
    </xf>
    <xf numFmtId="0" fontId="32" fillId="4" borderId="0" xfId="0" applyFont="1" applyFill="1" applyBorder="1" applyAlignment="1" applyProtection="1">
      <alignment horizontal="center" vertical="center"/>
      <protection hidden="1"/>
    </xf>
    <xf numFmtId="0" fontId="32" fillId="4" borderId="5" xfId="0" applyFont="1" applyFill="1" applyBorder="1" applyAlignment="1" applyProtection="1">
      <alignment horizontal="center" vertical="center"/>
      <protection hidden="1"/>
    </xf>
    <xf numFmtId="0" fontId="33" fillId="4" borderId="4" xfId="0" applyFont="1" applyFill="1" applyBorder="1" applyAlignment="1" applyProtection="1">
      <alignment horizontal="left" vertical="center"/>
      <protection hidden="1"/>
    </xf>
    <xf numFmtId="0" fontId="33" fillId="4" borderId="0" xfId="0" applyFont="1" applyFill="1" applyBorder="1" applyAlignment="1" applyProtection="1">
      <alignment horizontal="left" vertical="center"/>
      <protection hidden="1"/>
    </xf>
    <xf numFmtId="164" fontId="33" fillId="4" borderId="0" xfId="0" applyNumberFormat="1" applyFont="1" applyFill="1" applyBorder="1" applyAlignment="1" applyProtection="1">
      <alignment horizontal="center" vertical="center"/>
      <protection hidden="1"/>
    </xf>
    <xf numFmtId="0" fontId="34" fillId="4" borderId="4" xfId="0" applyFont="1" applyFill="1" applyBorder="1" applyAlignment="1" applyProtection="1">
      <alignment horizontal="center"/>
      <protection hidden="1"/>
    </xf>
    <xf numFmtId="0" fontId="34" fillId="4" borderId="0" xfId="0" applyFont="1" applyFill="1" applyBorder="1" applyAlignment="1" applyProtection="1">
      <alignment horizontal="center"/>
      <protection hidden="1"/>
    </xf>
    <xf numFmtId="0" fontId="34" fillId="4" borderId="5" xfId="0" applyFont="1" applyFill="1" applyBorder="1" applyAlignment="1" applyProtection="1">
      <alignment horizontal="center"/>
      <protection hidden="1"/>
    </xf>
    <xf numFmtId="0" fontId="16" fillId="4" borderId="7" xfId="0" applyFont="1" applyFill="1" applyBorder="1" applyProtection="1">
      <protection hidden="1"/>
    </xf>
    <xf numFmtId="0" fontId="16" fillId="4" borderId="8" xfId="0" applyFont="1" applyFill="1" applyBorder="1" applyProtection="1">
      <protection hidden="1"/>
    </xf>
    <xf numFmtId="0" fontId="16" fillId="4" borderId="6" xfId="0" applyFont="1" applyFill="1" applyBorder="1" applyProtection="1">
      <protection hidden="1"/>
    </xf>
    <xf numFmtId="164" fontId="17" fillId="4" borderId="7" xfId="0" applyNumberFormat="1" applyFont="1" applyFill="1" applyBorder="1" applyProtection="1">
      <protection hidden="1"/>
    </xf>
    <xf numFmtId="164" fontId="16" fillId="4" borderId="0" xfId="0" applyNumberFormat="1" applyFont="1" applyFill="1" applyProtection="1">
      <protection hidden="1"/>
    </xf>
    <xf numFmtId="164" fontId="17" fillId="4" borderId="0" xfId="0" applyNumberFormat="1" applyFont="1" applyFill="1" applyProtection="1">
      <protection hidden="1"/>
    </xf>
    <xf numFmtId="0" fontId="27" fillId="4" borderId="0" xfId="0" applyFont="1" applyFill="1" applyBorder="1" applyAlignment="1" applyProtection="1">
      <alignment horizontal="center" vertical="center"/>
      <protection hidden="1"/>
    </xf>
    <xf numFmtId="0" fontId="27" fillId="4" borderId="5" xfId="0" applyFont="1" applyFill="1" applyBorder="1" applyAlignment="1" applyProtection="1">
      <alignment horizontal="center" vertical="center"/>
      <protection hidden="1"/>
    </xf>
    <xf numFmtId="0" fontId="16" fillId="4" borderId="9" xfId="0" applyFont="1" applyFill="1" applyBorder="1" applyAlignment="1" applyProtection="1">
      <alignment horizontal="center" vertical="center"/>
      <protection locked="0" hidden="1"/>
    </xf>
    <xf numFmtId="0" fontId="16" fillId="4" borderId="10" xfId="0" applyFont="1" applyFill="1" applyBorder="1" applyAlignment="1" applyProtection="1">
      <alignment horizontal="center" vertical="center"/>
      <protection locked="0" hidden="1"/>
    </xf>
    <xf numFmtId="0" fontId="11" fillId="4" borderId="0" xfId="0" applyFont="1" applyFill="1" applyBorder="1" applyAlignment="1" applyProtection="1">
      <alignment horizontal="center" vertical="center"/>
      <protection hidden="1"/>
    </xf>
    <xf numFmtId="0" fontId="35" fillId="5" borderId="1" xfId="0" applyFont="1" applyFill="1" applyBorder="1" applyAlignment="1" applyProtection="1">
      <alignment horizontal="center"/>
      <protection hidden="1"/>
    </xf>
    <xf numFmtId="0" fontId="35" fillId="5" borderId="2" xfId="0" applyFont="1" applyFill="1" applyBorder="1" applyAlignment="1" applyProtection="1">
      <alignment horizontal="center"/>
      <protection hidden="1"/>
    </xf>
    <xf numFmtId="0" fontId="35" fillId="5" borderId="3" xfId="0" applyFont="1" applyFill="1" applyBorder="1" applyAlignment="1" applyProtection="1">
      <alignment horizontal="center"/>
      <protection hidden="1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corrigetonimpot.fr/livre-comment-faire-declaration-impot-pinel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corrigetonimpot.fr/livre-comment-faire-declaration-impot-pinel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corrigetonimpot.fr/livre-comment-faire-declaration-impot-pine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19049</xdr:colOff>
      <xdr:row>39</xdr:row>
      <xdr:rowOff>73551</xdr:rowOff>
    </xdr:to>
    <xdr:pic>
      <xdr:nvPicPr>
        <xdr:cNvPr id="2" name="Imag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77099" cy="9284226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16</xdr:col>
      <xdr:colOff>419099</xdr:colOff>
      <xdr:row>39</xdr:row>
      <xdr:rowOff>73551</xdr:rowOff>
    </xdr:to>
    <xdr:pic>
      <xdr:nvPicPr>
        <xdr:cNvPr id="3" name="Imag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8050" y="0"/>
          <a:ext cx="7277099" cy="92842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438149</xdr:colOff>
      <xdr:row>48</xdr:row>
      <xdr:rowOff>111651</xdr:rowOff>
    </xdr:to>
    <xdr:pic>
      <xdr:nvPicPr>
        <xdr:cNvPr id="2" name="Imag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77099" cy="9284226"/>
        </a:xfrm>
        <a:prstGeom prst="rect">
          <a:avLst/>
        </a:prstGeom>
      </xdr:spPr>
    </xdr:pic>
    <xdr:clientData/>
  </xdr:twoCellAnchor>
  <xdr:twoCellAnchor editAs="oneCell">
    <xdr:from>
      <xdr:col>8</xdr:col>
      <xdr:colOff>419100</xdr:colOff>
      <xdr:row>0</xdr:row>
      <xdr:rowOff>0</xdr:rowOff>
    </xdr:from>
    <xdr:to>
      <xdr:col>16</xdr:col>
      <xdr:colOff>561974</xdr:colOff>
      <xdr:row>48</xdr:row>
      <xdr:rowOff>111651</xdr:rowOff>
    </xdr:to>
    <xdr:pic>
      <xdr:nvPicPr>
        <xdr:cNvPr id="3" name="Imag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8050" y="0"/>
          <a:ext cx="7277099" cy="92842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438150</xdr:colOff>
      <xdr:row>48</xdr:row>
      <xdr:rowOff>111651</xdr:rowOff>
    </xdr:to>
    <xdr:pic>
      <xdr:nvPicPr>
        <xdr:cNvPr id="2" name="Imag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277099" cy="9284226"/>
        </a:xfrm>
        <a:prstGeom prst="rect">
          <a:avLst/>
        </a:prstGeom>
      </xdr:spPr>
    </xdr:pic>
    <xdr:clientData/>
  </xdr:twoCellAnchor>
  <xdr:twoCellAnchor editAs="oneCell">
    <xdr:from>
      <xdr:col>8</xdr:col>
      <xdr:colOff>428626</xdr:colOff>
      <xdr:row>0</xdr:row>
      <xdr:rowOff>0</xdr:rowOff>
    </xdr:from>
    <xdr:to>
      <xdr:col>16</xdr:col>
      <xdr:colOff>571500</xdr:colOff>
      <xdr:row>48</xdr:row>
      <xdr:rowOff>111651</xdr:rowOff>
    </xdr:to>
    <xdr:pic>
      <xdr:nvPicPr>
        <xdr:cNvPr id="3" name="Imag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7576" y="0"/>
          <a:ext cx="7277099" cy="9284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rrigetonimpot.fr/2017/02/13/revenu-net-imposable-et-revenu-fiscal-de-reference-attention-au-mauvais-placement-si-vous-ne-faites-pas-la-difference/" TargetMode="External"/><Relationship Id="rId2" Type="http://schemas.openxmlformats.org/officeDocument/2006/relationships/hyperlink" Target="https://www.corrigetonimpot.fr/2017/10/26/impot-personne-seule-vivant-demi-part-parent-isole/" TargetMode="External"/><Relationship Id="rId1" Type="http://schemas.openxmlformats.org/officeDocument/2006/relationships/hyperlink" Target="https://www.corrigetonimpot.fr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rrigetonimpot.fr/2017/02/13/revenu-net-imposable-et-revenu-fiscal-de-reference-attention-au-mauvais-placement-si-vous-ne-faites-pas-la-difference/" TargetMode="External"/><Relationship Id="rId2" Type="http://schemas.openxmlformats.org/officeDocument/2006/relationships/hyperlink" Target="https://www.corrigetonimpot.fr/2017/10/26/impot-personne-seule-vivant-demi-part-parent-isole/" TargetMode="External"/><Relationship Id="rId1" Type="http://schemas.openxmlformats.org/officeDocument/2006/relationships/hyperlink" Target="https://www.corrigetonimpot.fr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tabSelected="1" workbookViewId="0">
      <selection activeCell="C5" sqref="C5"/>
    </sheetView>
  </sheetViews>
  <sheetFormatPr baseColWidth="10" defaultRowHeight="15" x14ac:dyDescent="0.25"/>
  <cols>
    <col min="1" max="1" width="11.42578125" style="1"/>
    <col min="2" max="2" width="22.7109375" style="1" customWidth="1"/>
    <col min="3" max="3" width="29" style="1" customWidth="1"/>
    <col min="4" max="4" width="16" style="1" bestFit="1" customWidth="1"/>
    <col min="5" max="8" width="11.42578125" style="1"/>
    <col min="9" max="9" width="28" style="1" customWidth="1"/>
    <col min="10" max="10" width="16" style="1" bestFit="1" customWidth="1"/>
    <col min="11" max="16384" width="11.42578125" style="1"/>
  </cols>
  <sheetData>
    <row r="1" spans="1:29" ht="28.5" x14ac:dyDescent="0.45">
      <c r="A1" s="17" t="s">
        <v>62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/>
      <c r="O1" s="20" t="s">
        <v>37</v>
      </c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</row>
    <row r="2" spans="1:29" ht="15.75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23" t="s">
        <v>38</v>
      </c>
      <c r="L2" s="23"/>
      <c r="M2" s="23"/>
      <c r="N2" s="24"/>
      <c r="O2" s="22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</row>
    <row r="3" spans="1:29" ht="28.5" customHeight="1" x14ac:dyDescent="0.25">
      <c r="A3" s="5" t="s">
        <v>20</v>
      </c>
      <c r="B3" s="6"/>
      <c r="C3" s="11" t="s">
        <v>23</v>
      </c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22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4" spans="1:29" ht="28.5" customHeight="1" x14ac:dyDescent="0.25">
      <c r="A4" s="5" t="s">
        <v>26</v>
      </c>
      <c r="B4" s="6"/>
      <c r="C4" s="11">
        <v>1</v>
      </c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22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</row>
    <row r="5" spans="1:29" ht="28.5" customHeight="1" x14ac:dyDescent="0.25">
      <c r="A5" s="5" t="s">
        <v>27</v>
      </c>
      <c r="B5" s="6"/>
      <c r="C5" s="12"/>
      <c r="D5" s="25" t="s">
        <v>34</v>
      </c>
      <c r="E5" s="26"/>
      <c r="F5" s="26"/>
      <c r="G5" s="26"/>
      <c r="H5" s="26"/>
      <c r="I5" s="26"/>
      <c r="J5" s="26"/>
      <c r="K5" s="26"/>
      <c r="L5" s="26"/>
      <c r="M5" s="26"/>
      <c r="N5" s="27"/>
      <c r="O5" s="22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29" ht="28.5" customHeight="1" x14ac:dyDescent="0.25">
      <c r="A6" s="5"/>
      <c r="B6" s="6"/>
      <c r="C6" s="7"/>
      <c r="D6" s="3"/>
      <c r="E6" s="3"/>
      <c r="F6" s="3"/>
      <c r="G6" s="3"/>
      <c r="H6" s="3"/>
      <c r="I6" s="3"/>
      <c r="J6" s="3"/>
      <c r="K6" s="3"/>
      <c r="L6" s="3"/>
      <c r="M6" s="3"/>
      <c r="N6" s="4"/>
      <c r="O6" s="22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29" ht="28.5" hidden="1" customHeight="1" x14ac:dyDescent="0.25">
      <c r="A7" s="5"/>
      <c r="B7" s="6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4"/>
      <c r="O7" s="22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29" ht="28.5" customHeight="1" x14ac:dyDescent="0.25">
      <c r="A8" s="5" t="s">
        <v>35</v>
      </c>
      <c r="B8" s="6"/>
      <c r="C8" s="11">
        <v>30000</v>
      </c>
      <c r="D8" s="25" t="s">
        <v>36</v>
      </c>
      <c r="E8" s="26"/>
      <c r="F8" s="26"/>
      <c r="G8" s="26"/>
      <c r="H8" s="26"/>
      <c r="I8" s="26"/>
      <c r="J8" s="26"/>
      <c r="K8" s="26"/>
      <c r="L8" s="26"/>
      <c r="M8" s="26"/>
      <c r="N8" s="27"/>
      <c r="O8" s="22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</row>
    <row r="9" spans="1:29" ht="28.5" customHeight="1" x14ac:dyDescent="0.25">
      <c r="A9" s="8"/>
      <c r="B9" s="6"/>
      <c r="C9" s="9"/>
      <c r="D9" s="3"/>
      <c r="E9" s="3"/>
      <c r="F9" s="3"/>
      <c r="G9" s="3"/>
      <c r="H9" s="3"/>
      <c r="I9" s="3"/>
      <c r="J9" s="3"/>
      <c r="K9" s="3"/>
      <c r="L9" s="3"/>
      <c r="M9" s="3"/>
      <c r="N9" s="4"/>
      <c r="O9" s="22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</row>
    <row r="10" spans="1:29" ht="28.5" customHeight="1" x14ac:dyDescent="0.25">
      <c r="A10" s="33" t="s">
        <v>21</v>
      </c>
      <c r="B10" s="10"/>
      <c r="C10" s="34">
        <f>IF(C5="", 'Corrige ton impôt'!O30, 'Corrige ton impôt'!O30+0.5)</f>
        <v>1.5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22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</row>
    <row r="11" spans="1:29" ht="28.5" customHeight="1" x14ac:dyDescent="0.25">
      <c r="A11" s="8"/>
      <c r="B11" s="40" t="s">
        <v>63</v>
      </c>
      <c r="C11" s="40"/>
      <c r="D11" s="40"/>
      <c r="E11" s="41"/>
      <c r="F11" s="41"/>
      <c r="G11" s="41"/>
      <c r="H11" s="42" t="s">
        <v>64</v>
      </c>
      <c r="I11" s="42"/>
      <c r="J11" s="42"/>
      <c r="K11" s="3"/>
      <c r="L11" s="3"/>
      <c r="M11" s="3"/>
      <c r="N11" s="4"/>
      <c r="O11" s="22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</row>
    <row r="12" spans="1:29" ht="28.5" customHeight="1" x14ac:dyDescent="0.25">
      <c r="A12" s="2"/>
      <c r="B12" s="50" t="s">
        <v>22</v>
      </c>
      <c r="C12" s="50"/>
      <c r="D12" s="51">
        <f>IF(C3="Célibataire-Divorcé-Veuf", 'Corrige ton impôt'!I20, 'Corrige ton impôt'!I39)</f>
        <v>2107.5600000000004</v>
      </c>
      <c r="E12" s="36"/>
      <c r="F12" s="36"/>
      <c r="G12" s="36"/>
      <c r="H12" s="50" t="s">
        <v>22</v>
      </c>
      <c r="I12" s="50"/>
      <c r="J12" s="51">
        <f>IF(C3="Célibataire-Divorcé-Veuf", 'Corrige ton impôt2'!I20, 'Corrige ton impôt2'!I39)</f>
        <v>1655.94</v>
      </c>
      <c r="K12" s="3"/>
      <c r="L12" s="3"/>
      <c r="M12" s="3"/>
      <c r="N12" s="4"/>
      <c r="O12" s="22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</row>
    <row r="13" spans="1:29" ht="28.5" customHeight="1" x14ac:dyDescent="0.25">
      <c r="A13" s="2"/>
      <c r="B13" s="50" t="s">
        <v>17</v>
      </c>
      <c r="C13" s="50"/>
      <c r="D13" s="51">
        <f>IF(C3="Célibataire-Divorcé-Veuf", 'Corrige ton impôt'!I21, 'Corrige ton impôt'!I40)</f>
        <v>0</v>
      </c>
      <c r="E13" s="13"/>
      <c r="F13" s="13"/>
      <c r="G13" s="13"/>
      <c r="H13" s="50" t="s">
        <v>17</v>
      </c>
      <c r="I13" s="50"/>
      <c r="J13" s="51">
        <f>IF(C3="Célibataire-Divorcé-Veuf", 'Corrige ton impôt2'!I21, 'Corrige ton impôt2'!I40)</f>
        <v>27.687149999999974</v>
      </c>
      <c r="K13" s="13"/>
      <c r="L13" s="13"/>
      <c r="M13" s="13"/>
      <c r="N13" s="14"/>
      <c r="O13" s="22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</row>
    <row r="14" spans="1:29" ht="28.5" customHeight="1" x14ac:dyDescent="0.25">
      <c r="A14" s="2"/>
      <c r="B14" s="50" t="s">
        <v>49</v>
      </c>
      <c r="C14" s="50"/>
      <c r="D14" s="51">
        <f>IF(C3="Célibataire-Divorcé-Veuf",N29,O29)</f>
        <v>0</v>
      </c>
      <c r="E14" s="13"/>
      <c r="F14" s="13"/>
      <c r="G14" s="13"/>
      <c r="H14" s="50" t="s">
        <v>49</v>
      </c>
      <c r="I14" s="50"/>
      <c r="J14" s="51" t="s">
        <v>52</v>
      </c>
      <c r="K14" s="13"/>
      <c r="L14" s="13"/>
      <c r="M14" s="13"/>
      <c r="N14" s="14"/>
      <c r="O14" s="22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</row>
    <row r="15" spans="1:29" ht="34.5" customHeight="1" x14ac:dyDescent="0.3">
      <c r="A15" s="2"/>
      <c r="B15" s="37" t="s">
        <v>50</v>
      </c>
      <c r="C15" s="37"/>
      <c r="D15" s="48">
        <f>IF(D36&gt;0, D36, 0)</f>
        <v>2107.5600000000004</v>
      </c>
      <c r="E15" s="28"/>
      <c r="F15" s="38"/>
      <c r="G15" s="38"/>
      <c r="H15" s="39" t="s">
        <v>51</v>
      </c>
      <c r="I15" s="39"/>
      <c r="J15" s="49">
        <f>impot2020!C15</f>
        <v>1628.2528500000001</v>
      </c>
      <c r="K15" s="3"/>
      <c r="L15" s="3"/>
      <c r="M15" s="3"/>
      <c r="N15" s="4"/>
      <c r="O15" s="22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</row>
    <row r="16" spans="1:29" ht="40.5" customHeight="1" x14ac:dyDescent="0.25">
      <c r="A16" s="2"/>
      <c r="B16" s="43" t="s">
        <v>66</v>
      </c>
      <c r="C16" s="43"/>
      <c r="D16" s="43"/>
      <c r="E16" s="43"/>
      <c r="F16" s="43"/>
      <c r="G16" s="43"/>
      <c r="H16" s="43"/>
      <c r="I16" s="44">
        <f>D15-J15</f>
        <v>479.30715000000032</v>
      </c>
      <c r="J16" s="3"/>
      <c r="K16" s="3"/>
      <c r="L16" s="3"/>
      <c r="M16" s="3"/>
      <c r="N16" s="4"/>
      <c r="O16" s="22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</row>
    <row r="17" spans="1:29" x14ac:dyDescent="0.25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4"/>
      <c r="O17" s="22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</row>
    <row r="18" spans="1:29" hidden="1" x14ac:dyDescent="0.25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4"/>
      <c r="O18" s="22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</row>
    <row r="19" spans="1:29" ht="15" hidden="1" customHeight="1" x14ac:dyDescent="0.25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4"/>
      <c r="O19" s="22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</row>
    <row r="20" spans="1:29" ht="15.75" thickBot="1" x14ac:dyDescent="0.3">
      <c r="A20" s="45" t="s">
        <v>65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7"/>
      <c r="O20" s="22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</row>
    <row r="21" spans="1:29" ht="93" thickBot="1" x14ac:dyDescent="1.4">
      <c r="A21" s="102" t="s">
        <v>67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4"/>
      <c r="O21" s="101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</row>
    <row r="22" spans="1:29" x14ac:dyDescent="0.25">
      <c r="A22" s="29"/>
      <c r="B22" s="29" t="s">
        <v>61</v>
      </c>
      <c r="C22" s="29"/>
      <c r="D22" s="29">
        <f>IF(C3="Célibataire-Divorcé-Veuf", 'Corrige ton impôt'!I22, 'Corrige ton impôt'!I41)</f>
        <v>2107.5600000000004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1:29" x14ac:dyDescent="0.25">
      <c r="A23" s="29"/>
      <c r="B23" s="29" t="s">
        <v>43</v>
      </c>
      <c r="C23" s="29"/>
      <c r="D23" s="30">
        <f>D15*0.2</f>
        <v>421.51200000000011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  <row r="24" spans="1:29" x14ac:dyDescent="0.25">
      <c r="A24" s="29"/>
      <c r="B24" s="29" t="s">
        <v>44</v>
      </c>
      <c r="C24" s="29"/>
      <c r="D24" s="31">
        <f>D15-D23</f>
        <v>1686.0480000000002</v>
      </c>
      <c r="E24" s="29"/>
      <c r="F24" s="29" t="s">
        <v>45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</row>
    <row r="25" spans="1:29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1:29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</row>
    <row r="27" spans="1:29" x14ac:dyDescent="0.25">
      <c r="A27" s="29"/>
      <c r="B27" s="29" t="s">
        <v>46</v>
      </c>
      <c r="C27" s="29"/>
      <c r="D27" s="29">
        <f>20/100*(21037+3797*M29-C8)/2052</f>
        <v>-0.50350877192982457</v>
      </c>
      <c r="E27" s="30">
        <f>D22*D27</f>
        <v>-1061.1749473684213</v>
      </c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</row>
    <row r="28" spans="1:29" x14ac:dyDescent="0.25">
      <c r="A28" s="29"/>
      <c r="B28" s="29" t="s">
        <v>47</v>
      </c>
      <c r="C28" s="29"/>
      <c r="D28" s="31">
        <f>D15-E27</f>
        <v>3168.7349473684217</v>
      </c>
      <c r="E28" s="29"/>
      <c r="F28" s="29"/>
      <c r="G28" s="29"/>
      <c r="H28" s="29"/>
      <c r="I28" s="29"/>
      <c r="J28" s="29" t="s">
        <v>53</v>
      </c>
      <c r="K28" s="29" t="s">
        <v>54</v>
      </c>
      <c r="L28" s="29"/>
      <c r="M28" s="29"/>
      <c r="N28" s="29" t="s">
        <v>53</v>
      </c>
      <c r="O28" s="29" t="s">
        <v>54</v>
      </c>
      <c r="P28" s="29"/>
      <c r="Q28" s="29"/>
    </row>
    <row r="29" spans="1:29" x14ac:dyDescent="0.25">
      <c r="A29" s="29"/>
      <c r="B29" s="29" t="s">
        <v>43</v>
      </c>
      <c r="C29" s="29"/>
      <c r="D29" s="29">
        <f>20*(42074+3797*P29-C8)/4104/100</f>
        <v>0.40336257309941526</v>
      </c>
      <c r="E29" s="30">
        <f>D22*D29</f>
        <v>850.11082456140377</v>
      </c>
      <c r="F29" s="29"/>
      <c r="G29" s="29"/>
      <c r="H29" s="29" t="s">
        <v>55</v>
      </c>
      <c r="I29" s="29"/>
      <c r="J29" s="29">
        <f>D22*0.2</f>
        <v>421.51200000000011</v>
      </c>
      <c r="K29" s="29"/>
      <c r="L29" s="29"/>
      <c r="M29" s="29">
        <f>(C10-1)/0.5</f>
        <v>1</v>
      </c>
      <c r="N29" s="29">
        <f>IF(C8&lt;18985+3797*M29, J29, IF(C8&lt;21037+3797*M29, J30, J31))</f>
        <v>0</v>
      </c>
      <c r="O29" s="29">
        <f>IF(C8&lt;37970+3797*P29, K32, IF(C8&lt;42074+3797*P29, K33, K34))</f>
        <v>421.51200000000011</v>
      </c>
      <c r="P29" s="29">
        <f>(C10-2)/0.5</f>
        <v>-1</v>
      </c>
      <c r="Q29" s="29"/>
    </row>
    <row r="30" spans="1:29" x14ac:dyDescent="0.25">
      <c r="A30" s="29"/>
      <c r="B30" s="29" t="s">
        <v>48</v>
      </c>
      <c r="C30" s="29"/>
      <c r="D30" s="31">
        <f>D15-E29</f>
        <v>1257.4491754385967</v>
      </c>
      <c r="E30" s="29"/>
      <c r="F30" s="29"/>
      <c r="G30" s="29"/>
      <c r="H30" s="29" t="s">
        <v>56</v>
      </c>
      <c r="I30" s="29"/>
      <c r="J30" s="30">
        <f>E27</f>
        <v>-1061.1749473684213</v>
      </c>
      <c r="K30" s="29"/>
      <c r="L30" s="29"/>
      <c r="M30" s="29"/>
      <c r="N30" s="29"/>
      <c r="O30" s="29"/>
      <c r="P30" s="29"/>
      <c r="Q30" s="29"/>
    </row>
    <row r="31" spans="1:29" x14ac:dyDescent="0.25">
      <c r="A31" s="29"/>
      <c r="B31" s="29"/>
      <c r="C31" s="29"/>
      <c r="D31" s="29"/>
      <c r="E31" s="29"/>
      <c r="F31" s="29"/>
      <c r="G31" s="29"/>
      <c r="H31" s="29" t="s">
        <v>57</v>
      </c>
      <c r="I31" s="29"/>
      <c r="J31" s="29">
        <v>0</v>
      </c>
      <c r="K31" s="29"/>
      <c r="L31" s="29"/>
      <c r="M31" s="29"/>
      <c r="N31" s="29"/>
      <c r="O31" s="29"/>
      <c r="P31" s="29"/>
      <c r="Q31" s="29"/>
    </row>
    <row r="32" spans="1:29" x14ac:dyDescent="0.25">
      <c r="A32" s="29"/>
      <c r="B32" s="29"/>
      <c r="C32" s="29"/>
      <c r="D32" s="29"/>
      <c r="E32" s="29"/>
      <c r="F32" s="29"/>
      <c r="G32" s="29"/>
      <c r="H32" s="29" t="s">
        <v>58</v>
      </c>
      <c r="I32" s="29"/>
      <c r="J32" s="29"/>
      <c r="K32" s="29">
        <f>D22*0.2</f>
        <v>421.51200000000011</v>
      </c>
      <c r="L32" s="29"/>
      <c r="M32" s="29"/>
      <c r="N32" s="29"/>
      <c r="O32" s="29"/>
      <c r="P32" s="29"/>
      <c r="Q32" s="29"/>
    </row>
    <row r="33" spans="1:17" x14ac:dyDescent="0.25">
      <c r="A33" s="29"/>
      <c r="B33" s="29"/>
      <c r="C33" s="29"/>
      <c r="D33" s="29"/>
      <c r="E33" s="29"/>
      <c r="F33" s="29"/>
      <c r="G33" s="29"/>
      <c r="H33" s="29" t="s">
        <v>59</v>
      </c>
      <c r="I33" s="29"/>
      <c r="J33" s="29"/>
      <c r="K33" s="30">
        <f>E29</f>
        <v>850.11082456140377</v>
      </c>
      <c r="L33" s="29"/>
      <c r="M33" s="29"/>
      <c r="N33" s="29"/>
      <c r="O33" s="29"/>
      <c r="P33" s="29"/>
      <c r="Q33" s="29"/>
    </row>
    <row r="34" spans="1:17" x14ac:dyDescent="0.25">
      <c r="A34" s="29"/>
      <c r="B34" s="29"/>
      <c r="C34" s="29"/>
      <c r="D34" s="29"/>
      <c r="E34" s="29"/>
      <c r="F34" s="29"/>
      <c r="G34" s="29"/>
      <c r="H34" s="29" t="s">
        <v>60</v>
      </c>
      <c r="I34" s="29"/>
      <c r="J34" s="29"/>
      <c r="K34" s="29">
        <v>0</v>
      </c>
      <c r="L34" s="29"/>
      <c r="M34" s="29"/>
      <c r="N34" s="29"/>
      <c r="O34" s="29"/>
      <c r="P34" s="29"/>
      <c r="Q34" s="29"/>
    </row>
    <row r="35" spans="1:17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</row>
    <row r="36" spans="1:17" x14ac:dyDescent="0.25">
      <c r="A36" s="29"/>
      <c r="B36" s="29"/>
      <c r="C36" s="29"/>
      <c r="D36" s="29">
        <f>D12-D13-D14</f>
        <v>2107.5600000000004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</row>
    <row r="37" spans="1:17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</row>
    <row r="38" spans="1:17" x14ac:dyDescent="0.25">
      <c r="A38" s="29"/>
      <c r="B38" s="29">
        <f>42074+3797*2</f>
        <v>49668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</row>
    <row r="39" spans="1:17" x14ac:dyDescent="0.2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2"/>
    </row>
    <row r="40" spans="1:17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2"/>
    </row>
    <row r="41" spans="1:17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2"/>
    </row>
    <row r="42" spans="1:17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</row>
  </sheetData>
  <sheetProtection algorithmName="SHA-512" hashValue="V++tGV0WXFOvFCC92Oxo7rbpcqikIp8tAyaKcCqwQR6UOFjwp/S/ZS4vsU+l9B4mh4JxhqnGXKwUuYFZs8r8QQ==" saltValue="OP03FpezfuHk1cx81BiCzg==" spinCount="100000" sheet="1" objects="1" scenarios="1"/>
  <mergeCells count="10">
    <mergeCell ref="A21:N21"/>
    <mergeCell ref="A20:N20"/>
    <mergeCell ref="D5:N5"/>
    <mergeCell ref="D8:N8"/>
    <mergeCell ref="O1:AC20"/>
    <mergeCell ref="A1:N1"/>
    <mergeCell ref="K2:N2"/>
    <mergeCell ref="B11:D11"/>
    <mergeCell ref="H11:J11"/>
    <mergeCell ref="B16:H16"/>
  </mergeCells>
  <dataValidations count="1">
    <dataValidation type="list" allowBlank="1" showInputMessage="1" showErrorMessage="1" sqref="C3">
      <formula1>"Célibataire-Divorcé-Veuf,Marié-Pacsé"</formula1>
    </dataValidation>
  </dataValidations>
  <hyperlinks>
    <hyperlink ref="O1" r:id="rId1"/>
    <hyperlink ref="D5:N5" r:id="rId2" display="La case L et la case T ne sont pas possibles si vous êtes mariés/pacsés. Cliquez ici pour lire notre article expliquant si vous pouvez bénéficiez de l'avantage fiscal pour la case T ou la case L si vous vivez seul."/>
    <hyperlink ref="D8:N8" r:id="rId3" display="Le revenu imposable est le revenu après avoir enlevé les déductions (&quot;salaires - 10%/frais réels&quot;; &quot;loyers - abattements&quot;; &quot;dividendes - 40%&quot;...). Ce n'est pas le revenu fiscal de référence. Retrouvez le détail du RNI sur cet article."/>
  </hyperlinks>
  <pageMargins left="0.7" right="0.7" top="0.75" bottom="0.75" header="0.3" footer="0.3"/>
  <pageSetup paperSize="9" orientation="portrait" horizontalDpi="0" verticalDpi="0"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'Corrige ton impôt'!$M$4:$M$8</xm:f>
          </x14:formula1>
          <xm:sqref>C4</xm:sqref>
        </x14:dataValidation>
        <x14:dataValidation type="list" allowBlank="1" showInputMessage="1" showErrorMessage="1">
          <x14:formula1>
            <xm:f>'Corrige ton impôt'!$O$4:$O$6</xm:f>
          </x14:formula1>
          <xm:sqref>C6</xm:sqref>
        </x14:dataValidation>
        <x14:dataValidation type="list" allowBlank="1" showInputMessage="1" showErrorMessage="1">
          <x14:formula1>
            <xm:f>'Corrige ton impôt'!$O$3:$O$6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workbookViewId="0">
      <selection activeCell="O1" sqref="O1:AC20"/>
    </sheetView>
  </sheetViews>
  <sheetFormatPr baseColWidth="10" defaultRowHeight="15" x14ac:dyDescent="0.25"/>
  <cols>
    <col min="1" max="1" width="11.42578125" style="32"/>
    <col min="2" max="2" width="22.7109375" style="32" customWidth="1"/>
    <col min="3" max="3" width="29" style="32" customWidth="1"/>
    <col min="4" max="16384" width="11.42578125" style="32"/>
  </cols>
  <sheetData>
    <row r="1" spans="1:29" ht="28.5" x14ac:dyDescent="0.45">
      <c r="A1" s="60" t="s">
        <v>42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2"/>
      <c r="O1" s="63" t="s">
        <v>37</v>
      </c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</row>
    <row r="2" spans="1:29" ht="15.75" x14ac:dyDescent="0.25">
      <c r="A2" s="65"/>
      <c r="B2" s="29"/>
      <c r="C2" s="29"/>
      <c r="D2" s="29"/>
      <c r="E2" s="29"/>
      <c r="F2" s="29"/>
      <c r="G2" s="29"/>
      <c r="H2" s="29"/>
      <c r="I2" s="29"/>
      <c r="J2" s="29"/>
      <c r="K2" s="97" t="s">
        <v>38</v>
      </c>
      <c r="L2" s="97"/>
      <c r="M2" s="97"/>
      <c r="N2" s="98"/>
      <c r="O2" s="66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</row>
    <row r="3" spans="1:29" ht="28.5" customHeight="1" x14ac:dyDescent="0.25">
      <c r="A3" s="67" t="s">
        <v>20</v>
      </c>
      <c r="B3" s="68"/>
      <c r="C3" s="99" t="str">
        <f>'Baisse impot 2020'!C3</f>
        <v>Célibataire-Divorcé-Veuf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69"/>
      <c r="O3" s="66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</row>
    <row r="4" spans="1:29" ht="28.5" customHeight="1" x14ac:dyDescent="0.25">
      <c r="A4" s="67" t="s">
        <v>26</v>
      </c>
      <c r="B4" s="68"/>
      <c r="C4" s="99">
        <f>'Baisse impot 2020'!C4</f>
        <v>1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69"/>
      <c r="O4" s="66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</row>
    <row r="5" spans="1:29" ht="28.5" customHeight="1" x14ac:dyDescent="0.25">
      <c r="A5" s="67" t="s">
        <v>27</v>
      </c>
      <c r="B5" s="68"/>
      <c r="C5" s="100">
        <f>'Baisse impot 2020'!C5</f>
        <v>0</v>
      </c>
      <c r="D5" s="70" t="s">
        <v>34</v>
      </c>
      <c r="E5" s="71"/>
      <c r="F5" s="71"/>
      <c r="G5" s="71"/>
      <c r="H5" s="71"/>
      <c r="I5" s="71"/>
      <c r="J5" s="71"/>
      <c r="K5" s="71"/>
      <c r="L5" s="71"/>
      <c r="M5" s="71"/>
      <c r="N5" s="72"/>
      <c r="O5" s="66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</row>
    <row r="6" spans="1:29" ht="28.5" customHeight="1" x14ac:dyDescent="0.25">
      <c r="A6" s="67"/>
      <c r="B6" s="68"/>
      <c r="C6" s="73"/>
      <c r="D6" s="29"/>
      <c r="E6" s="29"/>
      <c r="F6" s="29"/>
      <c r="G6" s="29"/>
      <c r="H6" s="29"/>
      <c r="I6" s="29"/>
      <c r="J6" s="29"/>
      <c r="K6" s="29"/>
      <c r="L6" s="29"/>
      <c r="M6" s="29"/>
      <c r="N6" s="69"/>
      <c r="O6" s="66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</row>
    <row r="7" spans="1:29" ht="28.5" hidden="1" customHeight="1" x14ac:dyDescent="0.25">
      <c r="A7" s="67"/>
      <c r="B7" s="68"/>
      <c r="C7" s="73"/>
      <c r="D7" s="29"/>
      <c r="E7" s="29"/>
      <c r="F7" s="29"/>
      <c r="G7" s="29"/>
      <c r="H7" s="29"/>
      <c r="I7" s="29"/>
      <c r="J7" s="29"/>
      <c r="K7" s="29"/>
      <c r="L7" s="29"/>
      <c r="M7" s="29"/>
      <c r="N7" s="69"/>
      <c r="O7" s="66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</row>
    <row r="8" spans="1:29" ht="28.5" customHeight="1" x14ac:dyDescent="0.25">
      <c r="A8" s="67" t="s">
        <v>35</v>
      </c>
      <c r="B8" s="68"/>
      <c r="C8" s="99">
        <f>'Baisse impot 2020'!C8</f>
        <v>30000</v>
      </c>
      <c r="D8" s="70" t="s">
        <v>36</v>
      </c>
      <c r="E8" s="71"/>
      <c r="F8" s="71"/>
      <c r="G8" s="71"/>
      <c r="H8" s="71"/>
      <c r="I8" s="71"/>
      <c r="J8" s="71"/>
      <c r="K8" s="71"/>
      <c r="L8" s="71"/>
      <c r="M8" s="71"/>
      <c r="N8" s="72"/>
      <c r="O8" s="66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</row>
    <row r="9" spans="1:29" ht="28.5" customHeight="1" x14ac:dyDescent="0.25">
      <c r="A9" s="74"/>
      <c r="B9" s="68"/>
      <c r="C9" s="73"/>
      <c r="D9" s="29"/>
      <c r="E9" s="29"/>
      <c r="F9" s="29"/>
      <c r="G9" s="29"/>
      <c r="H9" s="29"/>
      <c r="I9" s="29"/>
      <c r="J9" s="29"/>
      <c r="K9" s="29"/>
      <c r="L9" s="29"/>
      <c r="M9" s="29"/>
      <c r="N9" s="69"/>
      <c r="O9" s="66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</row>
    <row r="10" spans="1:29" ht="28.5" customHeight="1" x14ac:dyDescent="0.25">
      <c r="A10" s="75" t="s">
        <v>21</v>
      </c>
      <c r="B10" s="76"/>
      <c r="C10" s="77">
        <f>'Baisse impot 2020'!C10</f>
        <v>1.5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69"/>
      <c r="O10" s="66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</row>
    <row r="11" spans="1:29" ht="28.5" customHeight="1" x14ac:dyDescent="0.25">
      <c r="A11" s="74"/>
      <c r="B11" s="68"/>
      <c r="C11" s="73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69"/>
      <c r="O11" s="66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</row>
    <row r="12" spans="1:29" ht="28.5" customHeight="1" x14ac:dyDescent="0.25">
      <c r="A12" s="78" t="s">
        <v>22</v>
      </c>
      <c r="B12" s="79"/>
      <c r="C12" s="80">
        <f>IF(C3="Célibataire-Divorcé-Veuf", 'Corrige ton impôt2'!I20, 'Corrige ton impôt2'!I39)</f>
        <v>1655.94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69"/>
      <c r="O12" s="66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</row>
    <row r="13" spans="1:29" ht="28.5" customHeight="1" x14ac:dyDescent="0.25">
      <c r="A13" s="78" t="s">
        <v>17</v>
      </c>
      <c r="B13" s="79"/>
      <c r="C13" s="80">
        <f>IF(C3="Célibataire-Divorcé-Veuf", 'Corrige ton impôt2'!I21, 'Corrige ton impôt2'!I40)</f>
        <v>27.687149999999974</v>
      </c>
      <c r="D13" s="81" t="s">
        <v>41</v>
      </c>
      <c r="E13" s="81"/>
      <c r="F13" s="81"/>
      <c r="G13" s="81"/>
      <c r="H13" s="81"/>
      <c r="I13" s="81"/>
      <c r="J13" s="81"/>
      <c r="K13" s="81"/>
      <c r="L13" s="81"/>
      <c r="M13" s="81"/>
      <c r="N13" s="82"/>
      <c r="O13" s="66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</row>
    <row r="14" spans="1:29" ht="28.5" customHeight="1" x14ac:dyDescent="0.25">
      <c r="A14" s="78" t="s">
        <v>49</v>
      </c>
      <c r="B14" s="79"/>
      <c r="C14" s="80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4"/>
      <c r="O14" s="66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</row>
    <row r="15" spans="1:29" ht="34.5" customHeight="1" x14ac:dyDescent="0.25">
      <c r="A15" s="85" t="s">
        <v>19</v>
      </c>
      <c r="B15" s="86"/>
      <c r="C15" s="87">
        <f>IF(C3="Célibataire-Divorcé-Veuf", 'Corrige ton impôt2'!I22, 'Corrige ton impôt2'!I41)</f>
        <v>1628.2528500000001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69"/>
      <c r="O15" s="66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</row>
    <row r="16" spans="1:29" x14ac:dyDescent="0.25">
      <c r="A16" s="88" t="s">
        <v>39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90"/>
      <c r="O16" s="66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</row>
    <row r="17" spans="2:29" x14ac:dyDescent="0.25">
      <c r="G17" s="29"/>
      <c r="H17" s="29"/>
      <c r="I17" s="29"/>
      <c r="J17" s="29"/>
      <c r="K17" s="29"/>
      <c r="L17" s="29"/>
      <c r="M17" s="29"/>
      <c r="N17" s="69"/>
      <c r="O17" s="66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</row>
    <row r="18" spans="2:29" hidden="1" x14ac:dyDescent="0.25">
      <c r="G18" s="29"/>
      <c r="H18" s="29"/>
      <c r="I18" s="29"/>
      <c r="J18" s="29"/>
      <c r="K18" s="29"/>
      <c r="L18" s="29"/>
      <c r="M18" s="29"/>
      <c r="N18" s="69"/>
      <c r="O18" s="66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</row>
    <row r="19" spans="2:29" ht="15" hidden="1" customHeight="1" x14ac:dyDescent="0.25">
      <c r="G19" s="29"/>
      <c r="H19" s="29"/>
      <c r="I19" s="29"/>
      <c r="J19" s="29"/>
      <c r="K19" s="29"/>
      <c r="L19" s="29"/>
      <c r="M19" s="29"/>
      <c r="N19" s="69"/>
      <c r="O19" s="66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</row>
    <row r="20" spans="2:29" ht="15.75" thickBot="1" x14ac:dyDescent="0.3">
      <c r="G20" s="91"/>
      <c r="H20" s="91"/>
      <c r="I20" s="91"/>
      <c r="J20" s="91"/>
      <c r="K20" s="91"/>
      <c r="L20" s="91"/>
      <c r="M20" s="91"/>
      <c r="N20" s="92"/>
      <c r="O20" s="66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</row>
    <row r="22" spans="2:29" x14ac:dyDescent="0.25">
      <c r="B22" s="65" t="s">
        <v>43</v>
      </c>
      <c r="C22" s="29"/>
      <c r="D22" s="30">
        <f>C15*0.2</f>
        <v>325.65057000000002</v>
      </c>
      <c r="E22" s="29"/>
      <c r="F22" s="29"/>
      <c r="G22" s="29"/>
    </row>
    <row r="23" spans="2:29" ht="15.75" thickBot="1" x14ac:dyDescent="0.3">
      <c r="B23" s="93" t="s">
        <v>44</v>
      </c>
      <c r="C23" s="91"/>
      <c r="D23" s="94">
        <f>C15-D22</f>
        <v>1302.6022800000001</v>
      </c>
      <c r="E23" s="91"/>
      <c r="F23" s="91" t="s">
        <v>45</v>
      </c>
      <c r="G23" s="91"/>
    </row>
    <row r="26" spans="2:29" x14ac:dyDescent="0.25">
      <c r="B26" s="65" t="s">
        <v>46</v>
      </c>
      <c r="D26" s="32">
        <f>20/100*(21037-C8)/2052</f>
        <v>-0.87358674463937624</v>
      </c>
      <c r="E26" s="95">
        <f>C15*D26</f>
        <v>-1422.4201066812866</v>
      </c>
    </row>
    <row r="27" spans="2:29" ht="15.75" thickBot="1" x14ac:dyDescent="0.3">
      <c r="B27" s="93" t="s">
        <v>47</v>
      </c>
      <c r="D27" s="96">
        <f>C15-E26</f>
        <v>3050.6729566812865</v>
      </c>
    </row>
    <row r="28" spans="2:29" x14ac:dyDescent="0.25">
      <c r="B28" s="65" t="s">
        <v>43</v>
      </c>
      <c r="D28" s="32">
        <f>20*(42074-C8)/4104/100</f>
        <v>0.58840155945419104</v>
      </c>
      <c r="E28" s="95">
        <f>C15*D28</f>
        <v>958.06651612573103</v>
      </c>
    </row>
    <row r="29" spans="2:29" ht="15.75" thickBot="1" x14ac:dyDescent="0.3">
      <c r="B29" s="93" t="s">
        <v>48</v>
      </c>
      <c r="D29" s="96">
        <f>C15-E28</f>
        <v>670.18633387426905</v>
      </c>
    </row>
  </sheetData>
  <sheetProtection algorithmName="SHA-512" hashValue="8XrdTFm+LkjSHGt0aoQCYBOUBK0m53pxUrhZFEaVwYXwnqwoAV1eRn6G83lHl0JdIw6bt1n9KiTURbfOzwV23g==" saltValue="zPIifFUDr+qe6mMAPpFwag==" spinCount="100000" sheet="1" objects="1" scenarios="1"/>
  <mergeCells count="7">
    <mergeCell ref="A1:N1"/>
    <mergeCell ref="O1:AC20"/>
    <mergeCell ref="K2:N2"/>
    <mergeCell ref="D5:N5"/>
    <mergeCell ref="D8:N8"/>
    <mergeCell ref="D13:N13"/>
    <mergeCell ref="A16:N16"/>
  </mergeCells>
  <dataValidations count="1">
    <dataValidation type="list" allowBlank="1" showInputMessage="1" showErrorMessage="1" sqref="C3">
      <formula1>"Célibataire-Divorcé-Veuf,Marié-Pacsé"</formula1>
    </dataValidation>
  </dataValidations>
  <hyperlinks>
    <hyperlink ref="O1" r:id="rId1"/>
    <hyperlink ref="D5:N5" r:id="rId2" display="La case L et la case T ne sont pas possibles si vous êtes mariés/pacsés. Cliquez ici pour lire notre article expliquant si vous pouvez bénéficiez de l'avantage fiscal pour la case T ou la case L si vous vivez seul."/>
    <hyperlink ref="D8:N8" r:id="rId3" display="Le revenu imposable est le revenu après avoir enlevé les déductions (&quot;salaires - 10%/frais réels&quot;; &quot;loyers - abattements&quot;; &quot;dividendes - 40%&quot;...). Ce n'est pas le revenu fiscal de référence. Retrouvez le détail du RNI sur cet article."/>
  </hyperlinks>
  <pageMargins left="0.7" right="0.7" top="0.75" bottom="0.75" header="0.3" footer="0.3"/>
  <pageSetup paperSize="9" orientation="portrait" horizontalDpi="0" verticalDpi="0" r:id="rId4"/>
  <drawing r:id="rId5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'Corrige ton impôt'!$O$3:$O$6</xm:f>
          </x14:formula1>
          <xm:sqref>C5</xm:sqref>
        </x14:dataValidation>
        <x14:dataValidation type="list" allowBlank="1" showInputMessage="1" showErrorMessage="1">
          <x14:formula1>
            <xm:f>'Corrige ton impôt'!$O$4:$O$6</xm:f>
          </x14:formula1>
          <xm:sqref>C6</xm:sqref>
        </x14:dataValidation>
        <x14:dataValidation type="list" allowBlank="1" showInputMessage="1" showErrorMessage="1">
          <x14:formula1>
            <xm:f>'Corrige ton impôt'!$M$4:$M$8</xm:f>
          </x14:formula1>
          <xm:sqref>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workbookViewId="0">
      <selection activeCell="F47" sqref="F47"/>
    </sheetView>
  </sheetViews>
  <sheetFormatPr baseColWidth="10" defaultRowHeight="15" x14ac:dyDescent="0.25"/>
  <cols>
    <col min="1" max="6" width="11.42578125" style="32"/>
    <col min="7" max="7" width="5.140625" style="32" customWidth="1"/>
    <col min="8" max="8" width="28.85546875" style="32" customWidth="1"/>
    <col min="9" max="14" width="11.42578125" style="32"/>
    <col min="15" max="15" width="27" style="32" customWidth="1"/>
    <col min="16" max="16384" width="11.42578125" style="32"/>
  </cols>
  <sheetData>
    <row r="1" spans="1:15" ht="15.75" thickBot="1" x14ac:dyDescent="0.3">
      <c r="A1" s="52" t="s">
        <v>12</v>
      </c>
      <c r="B1" s="53"/>
      <c r="C1" s="53"/>
      <c r="D1" s="53"/>
      <c r="E1" s="53"/>
      <c r="F1" s="53"/>
      <c r="G1" s="53"/>
      <c r="H1" s="53"/>
      <c r="I1" s="53"/>
      <c r="J1" s="54"/>
    </row>
    <row r="3" spans="1:15" x14ac:dyDescent="0.25">
      <c r="B3" s="55" t="s">
        <v>40</v>
      </c>
      <c r="C3" s="55"/>
      <c r="D3" s="55"/>
      <c r="E3" s="55"/>
      <c r="F3" s="55"/>
      <c r="H3" s="32" t="s">
        <v>6</v>
      </c>
      <c r="J3" s="32">
        <f>impot2020!C8</f>
        <v>30000</v>
      </c>
    </row>
    <row r="4" spans="1:15" x14ac:dyDescent="0.25">
      <c r="H4" s="32" t="s">
        <v>7</v>
      </c>
      <c r="J4" s="32">
        <f>impot2020!C10</f>
        <v>1.5</v>
      </c>
      <c r="M4" s="32">
        <v>0</v>
      </c>
      <c r="O4" s="32" t="s">
        <v>32</v>
      </c>
    </row>
    <row r="5" spans="1:15" x14ac:dyDescent="0.25">
      <c r="B5" s="32">
        <v>0</v>
      </c>
      <c r="C5" s="32">
        <v>9964</v>
      </c>
      <c r="D5" s="56">
        <f>0</f>
        <v>0</v>
      </c>
      <c r="E5" s="32">
        <f>0</f>
        <v>0</v>
      </c>
      <c r="M5" s="32">
        <v>1</v>
      </c>
      <c r="O5" s="32" t="s">
        <v>31</v>
      </c>
    </row>
    <row r="6" spans="1:15" x14ac:dyDescent="0.25">
      <c r="B6" s="32">
        <v>9964</v>
      </c>
      <c r="C6" s="32">
        <v>25405</v>
      </c>
      <c r="D6" s="56">
        <v>0.11</v>
      </c>
      <c r="E6" s="57">
        <f>(C6-B6)*D6</f>
        <v>1698.51</v>
      </c>
      <c r="M6" s="32">
        <v>2</v>
      </c>
      <c r="O6" s="32" t="s">
        <v>33</v>
      </c>
    </row>
    <row r="7" spans="1:15" x14ac:dyDescent="0.25">
      <c r="B7" s="32">
        <v>25405</v>
      </c>
      <c r="C7" s="32">
        <v>72644</v>
      </c>
      <c r="D7" s="56">
        <f>0.3</f>
        <v>0.3</v>
      </c>
      <c r="E7" s="32">
        <f>(C7-B7)*0.3</f>
        <v>14171.699999999999</v>
      </c>
      <c r="F7" s="57">
        <f>E7+E6</f>
        <v>15870.21</v>
      </c>
      <c r="M7" s="32">
        <v>3</v>
      </c>
    </row>
    <row r="8" spans="1:15" x14ac:dyDescent="0.25">
      <c r="B8" s="32">
        <v>72644</v>
      </c>
      <c r="C8" s="32">
        <v>156244</v>
      </c>
      <c r="D8" s="56">
        <v>0.41</v>
      </c>
      <c r="E8" s="32">
        <f>(C8-B8)*D8</f>
        <v>34276</v>
      </c>
      <c r="F8" s="57">
        <f>SUM(E6:E8)</f>
        <v>50146.21</v>
      </c>
      <c r="M8" s="32">
        <v>4</v>
      </c>
    </row>
    <row r="9" spans="1:15" x14ac:dyDescent="0.25">
      <c r="D9" s="56">
        <f>0.45</f>
        <v>0.45</v>
      </c>
      <c r="M9" s="32">
        <v>5</v>
      </c>
    </row>
    <row r="10" spans="1:15" x14ac:dyDescent="0.25">
      <c r="H10" s="32" t="s">
        <v>9</v>
      </c>
      <c r="I10" s="32">
        <f>IF(J3&gt;=C8, (J3-C8)*D9+E8+E7+E6, IF(J3&gt;=C7, (J3-C7)*D8+E7+E6, IF(J3&gt;=C6, (J3-C6)*D7+E6, IF(J3&gt;=C5, (J3-C5)*D6, 0))))</f>
        <v>3077.01</v>
      </c>
    </row>
    <row r="11" spans="1:15" x14ac:dyDescent="0.25">
      <c r="B11" s="32" t="s">
        <v>0</v>
      </c>
      <c r="H11" s="32" t="s">
        <v>8</v>
      </c>
      <c r="I11" s="32">
        <f>IF(J3&gt;=C28, (J3-C28)*D29+E28+E27+E26, IF(J3&gt;=C27, (J3-C27)*D28+E27+E26, IF(J3&gt;=C26, (J3-C26)*D27+E26, IF(J3&gt;=C25, (J3-C25)*D26, 0))))</f>
        <v>1655.94</v>
      </c>
    </row>
    <row r="13" spans="1:15" x14ac:dyDescent="0.25">
      <c r="H13" s="32" t="s">
        <v>28</v>
      </c>
      <c r="I13" s="32">
        <f>IF(impot2020!C5="Parent isolé (T)", 1,0)</f>
        <v>0</v>
      </c>
    </row>
    <row r="14" spans="1:15" x14ac:dyDescent="0.25">
      <c r="H14" s="32" t="s">
        <v>29</v>
      </c>
      <c r="I14" s="32">
        <f>IF(impot2020!C5="Enfant élevé seul (L)", 1, 0)</f>
        <v>0</v>
      </c>
    </row>
    <row r="15" spans="1:15" x14ac:dyDescent="0.25">
      <c r="H15" s="32" t="s">
        <v>30</v>
      </c>
      <c r="I15" s="32">
        <f>IF(impot2020!C5="Invalidité", 1,0)</f>
        <v>0</v>
      </c>
    </row>
    <row r="16" spans="1:15" x14ac:dyDescent="0.25">
      <c r="H16" s="32" t="s">
        <v>15</v>
      </c>
      <c r="I16" s="32">
        <f>IF('Baisse impot 2020'!C5="", (J4-1)*2, (J4-1)*2-1)</f>
        <v>1</v>
      </c>
    </row>
    <row r="17" spans="1:17" x14ac:dyDescent="0.25">
      <c r="A17" s="32">
        <v>1567</v>
      </c>
      <c r="B17" s="32" t="s">
        <v>1</v>
      </c>
      <c r="H17" s="32" t="s">
        <v>10</v>
      </c>
      <c r="I17" s="32">
        <f>I10-A17*I16-I13*A19-I14*A18-I15*A20</f>
        <v>1510.0100000000002</v>
      </c>
      <c r="O17" s="32" t="s">
        <v>23</v>
      </c>
      <c r="P17" s="32">
        <v>0</v>
      </c>
      <c r="Q17" s="32">
        <v>1</v>
      </c>
    </row>
    <row r="18" spans="1:17" x14ac:dyDescent="0.25">
      <c r="A18" s="32">
        <v>936</v>
      </c>
      <c r="B18" s="32" t="s">
        <v>2</v>
      </c>
      <c r="P18" s="32">
        <v>1</v>
      </c>
      <c r="Q18" s="32">
        <v>1.5</v>
      </c>
    </row>
    <row r="19" spans="1:17" x14ac:dyDescent="0.25">
      <c r="A19" s="32">
        <f>3697-1567</f>
        <v>2130</v>
      </c>
      <c r="B19" s="32" t="s">
        <v>3</v>
      </c>
      <c r="P19" s="32">
        <v>2</v>
      </c>
      <c r="Q19" s="32">
        <v>2</v>
      </c>
    </row>
    <row r="20" spans="1:17" x14ac:dyDescent="0.25">
      <c r="A20" s="32">
        <v>3129</v>
      </c>
      <c r="B20" s="32" t="s">
        <v>4</v>
      </c>
      <c r="H20" s="32" t="s">
        <v>11</v>
      </c>
      <c r="I20" s="32">
        <f>IF(I11&gt;I17, I11, I17)</f>
        <v>1655.94</v>
      </c>
      <c r="P20" s="32">
        <v>3</v>
      </c>
      <c r="Q20" s="32">
        <v>3</v>
      </c>
    </row>
    <row r="21" spans="1:17" x14ac:dyDescent="0.25">
      <c r="B21" s="32" t="s">
        <v>5</v>
      </c>
      <c r="H21" s="32" t="s">
        <v>17</v>
      </c>
      <c r="I21" s="32">
        <f>IF(I20&lt;=1717, (777 - 0.4525 *I20), 0)</f>
        <v>27.687149999999974</v>
      </c>
      <c r="P21" s="32">
        <v>4</v>
      </c>
      <c r="Q21" s="32">
        <v>4</v>
      </c>
    </row>
    <row r="22" spans="1:17" x14ac:dyDescent="0.25">
      <c r="H22" s="32" t="s">
        <v>18</v>
      </c>
      <c r="I22" s="32">
        <f>IF(I21&gt;I20, 0, I20-I21)</f>
        <v>1628.2528500000001</v>
      </c>
    </row>
    <row r="23" spans="1:17" x14ac:dyDescent="0.25">
      <c r="B23" s="55" t="s">
        <v>24</v>
      </c>
      <c r="C23" s="55"/>
      <c r="D23" s="55"/>
      <c r="E23" s="55"/>
      <c r="F23" s="55"/>
      <c r="O23" s="32" t="s">
        <v>25</v>
      </c>
      <c r="P23" s="32">
        <v>0</v>
      </c>
      <c r="Q23" s="32">
        <v>2</v>
      </c>
    </row>
    <row r="24" spans="1:17" x14ac:dyDescent="0.25">
      <c r="P24" s="32">
        <v>1</v>
      </c>
      <c r="Q24" s="32">
        <v>2.5</v>
      </c>
    </row>
    <row r="25" spans="1:17" x14ac:dyDescent="0.25">
      <c r="B25" s="32">
        <v>0</v>
      </c>
      <c r="C25" s="32">
        <f>C5*$J$4</f>
        <v>14946</v>
      </c>
      <c r="D25" s="56">
        <f>0</f>
        <v>0</v>
      </c>
      <c r="E25" s="32">
        <f>0</f>
        <v>0</v>
      </c>
      <c r="P25" s="32">
        <v>2</v>
      </c>
      <c r="Q25" s="32">
        <v>3</v>
      </c>
    </row>
    <row r="26" spans="1:17" x14ac:dyDescent="0.25">
      <c r="B26" s="32">
        <f>B6*$J$4</f>
        <v>14946</v>
      </c>
      <c r="C26" s="32">
        <f>C6*$J$4</f>
        <v>38107.5</v>
      </c>
      <c r="D26" s="56">
        <v>0.11</v>
      </c>
      <c r="E26" s="57">
        <f>(C26-B26)*D26</f>
        <v>2547.7649999999999</v>
      </c>
      <c r="P26" s="32">
        <v>3</v>
      </c>
      <c r="Q26" s="32">
        <v>4</v>
      </c>
    </row>
    <row r="27" spans="1:17" x14ac:dyDescent="0.25">
      <c r="B27" s="32">
        <f>B7*$J$4</f>
        <v>38107.5</v>
      </c>
      <c r="C27" s="32">
        <f>C7*$J$4</f>
        <v>108966</v>
      </c>
      <c r="D27" s="56">
        <f>0.3</f>
        <v>0.3</v>
      </c>
      <c r="E27" s="32">
        <f>(C27-B27)*0.3</f>
        <v>21257.55</v>
      </c>
      <c r="F27" s="57">
        <f>E27+E26</f>
        <v>23805.314999999999</v>
      </c>
      <c r="P27" s="32">
        <v>4</v>
      </c>
      <c r="Q27" s="32">
        <v>5</v>
      </c>
    </row>
    <row r="28" spans="1:17" x14ac:dyDescent="0.25">
      <c r="B28" s="32">
        <f>B8*$J$4</f>
        <v>108966</v>
      </c>
      <c r="C28" s="32">
        <f>C8*$J$4</f>
        <v>234366</v>
      </c>
      <c r="D28" s="56">
        <v>0.41</v>
      </c>
      <c r="E28" s="32">
        <f>(C28-B28)*D28</f>
        <v>51414</v>
      </c>
      <c r="F28" s="57">
        <f>SUM(E26:E28)</f>
        <v>75219.315000000002</v>
      </c>
    </row>
    <row r="29" spans="1:17" x14ac:dyDescent="0.25">
      <c r="D29" s="56">
        <f>0.45</f>
        <v>0.45</v>
      </c>
    </row>
    <row r="30" spans="1:17" ht="15.75" thickBot="1" x14ac:dyDescent="0.3">
      <c r="O30" s="32">
        <f>IF(impot2020!C3="Célibataire-Divorcé-Veuf", VLOOKUP(impot2020!C4, 'Corrige ton impôt2'!P17:Q21, 2, FALSE), VLOOKUP(impot2020!C4, 'Corrige ton impôt2'!P23:Q27, 2, FALSE))</f>
        <v>1.5</v>
      </c>
    </row>
    <row r="31" spans="1:17" ht="15.75" thickBot="1" x14ac:dyDescent="0.3">
      <c r="A31" s="52" t="s">
        <v>13</v>
      </c>
      <c r="B31" s="53"/>
      <c r="C31" s="53"/>
      <c r="D31" s="53"/>
      <c r="E31" s="53"/>
      <c r="F31" s="53"/>
      <c r="G31" s="53"/>
      <c r="H31" s="53"/>
      <c r="I31" s="53"/>
      <c r="J31" s="54"/>
    </row>
    <row r="32" spans="1:17" x14ac:dyDescent="0.25">
      <c r="A32" s="58"/>
      <c r="B32" s="58"/>
      <c r="C32" s="58"/>
      <c r="D32" s="58"/>
      <c r="E32" s="58"/>
      <c r="F32" s="58"/>
      <c r="G32" s="58"/>
      <c r="H32" s="58"/>
      <c r="I32" s="58"/>
      <c r="J32" s="58"/>
    </row>
    <row r="33" spans="2:9" x14ac:dyDescent="0.25">
      <c r="B33" s="32">
        <f>B5*2</f>
        <v>0</v>
      </c>
      <c r="C33" s="32">
        <f>C5*2</f>
        <v>19928</v>
      </c>
      <c r="D33" s="59">
        <v>0</v>
      </c>
      <c r="E33" s="32">
        <v>0</v>
      </c>
      <c r="H33" s="32" t="s">
        <v>14</v>
      </c>
      <c r="I33" s="32">
        <f>IF(J3&gt;=C37, (J3-C37)*D38+E37+E36+E34, IF(J3&gt;=C36, (J3-C36)*D37+E36+E34, IF(J3&gt;=C34, (J3-C34)*D36+E34, IF(J3&gt;=C33, (J3-C33)*D34, 0))))</f>
        <v>1107.92</v>
      </c>
    </row>
    <row r="34" spans="2:9" x14ac:dyDescent="0.25">
      <c r="B34" s="32">
        <f t="shared" ref="B34:C34" si="0">B6*2</f>
        <v>19928</v>
      </c>
      <c r="C34" s="32">
        <f t="shared" si="0"/>
        <v>50810</v>
      </c>
      <c r="D34" s="59">
        <v>0.11</v>
      </c>
      <c r="E34" s="32">
        <f>(C34-B34)*D34</f>
        <v>3397.02</v>
      </c>
      <c r="H34" s="32" t="s">
        <v>8</v>
      </c>
      <c r="I34" s="32">
        <f>IF(J3&gt;=C28, (J3-C28)*D29+E28+E27+E26, IF(J3&gt;=C27, (J3-C27)*D28+E27+E26, IF(J3&gt;=C26, (J3-C26)*D27+E26, IF(J3&gt;=C25, (J3-C25)*D26, 0))))</f>
        <v>1655.94</v>
      </c>
    </row>
    <row r="35" spans="2:9" x14ac:dyDescent="0.25">
      <c r="D35" s="59"/>
      <c r="H35" s="32" t="s">
        <v>30</v>
      </c>
      <c r="I35" s="32">
        <f>IF(impot2020!C5="Invalidité", 1,0)</f>
        <v>0</v>
      </c>
    </row>
    <row r="36" spans="2:9" x14ac:dyDescent="0.25">
      <c r="B36" s="32">
        <f>B7*2</f>
        <v>50810</v>
      </c>
      <c r="C36" s="32">
        <f>C7*2</f>
        <v>145288</v>
      </c>
      <c r="D36" s="59">
        <v>0.3</v>
      </c>
      <c r="E36" s="32">
        <f>(C36-B36)*D36</f>
        <v>28343.399999999998</v>
      </c>
      <c r="F36" s="32">
        <f>E34+E36</f>
        <v>31740.42</v>
      </c>
      <c r="H36" s="32" t="s">
        <v>16</v>
      </c>
      <c r="I36" s="32">
        <f>IF('Baisse impot 2020'!C5="", (J4-2)*2, (J4-2)*2-1)</f>
        <v>-1</v>
      </c>
    </row>
    <row r="37" spans="2:9" x14ac:dyDescent="0.25">
      <c r="B37" s="32">
        <f>B8*2</f>
        <v>145288</v>
      </c>
      <c r="C37" s="32">
        <f>C8*2</f>
        <v>312488</v>
      </c>
      <c r="D37" s="59">
        <v>0.41</v>
      </c>
      <c r="E37" s="32">
        <f>(C37-B37)*D37</f>
        <v>68552</v>
      </c>
      <c r="F37" s="32">
        <f>E34+E36+E37</f>
        <v>100292.42</v>
      </c>
      <c r="H37" s="32" t="s">
        <v>10</v>
      </c>
      <c r="I37" s="32">
        <f>I33-A17*I36-I35*A20</f>
        <v>2674.92</v>
      </c>
    </row>
    <row r="38" spans="2:9" x14ac:dyDescent="0.25">
      <c r="D38" s="59">
        <v>0.45</v>
      </c>
    </row>
    <row r="39" spans="2:9" x14ac:dyDescent="0.25">
      <c r="H39" s="32" t="s">
        <v>11</v>
      </c>
      <c r="I39" s="32">
        <f>IF(I34&gt;I37, I34, I37)</f>
        <v>2674.92</v>
      </c>
    </row>
    <row r="40" spans="2:9" x14ac:dyDescent="0.25">
      <c r="H40" s="32" t="s">
        <v>17</v>
      </c>
      <c r="I40" s="32">
        <f>IF(I39&lt;=2842, 1286-0.4525*I39, 0)</f>
        <v>75.598700000000008</v>
      </c>
    </row>
    <row r="41" spans="2:9" x14ac:dyDescent="0.25">
      <c r="H41" s="32" t="s">
        <v>18</v>
      </c>
      <c r="I41" s="32">
        <f>IF(I40&gt;I39, 0, I39-I40)</f>
        <v>2599.3213000000001</v>
      </c>
    </row>
  </sheetData>
  <sheetProtection algorithmName="SHA-512" hashValue="A2QyKVUXgb0ArgY42mQCeH0WrfRKgU20l0SqwmmoLS/Mx/hG0vnAfqAb4ND8FGHlmJPHh0+CRU57GxZl64lX2Q==" saltValue="NNNPTTOteCyaRI386Uq/iA==" spinCount="100000" sheet="1" objects="1" scenarios="1"/>
  <mergeCells count="4">
    <mergeCell ref="A1:J1"/>
    <mergeCell ref="B3:F3"/>
    <mergeCell ref="B23:F23"/>
    <mergeCell ref="A31:J3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workbookViewId="0">
      <selection activeCell="F17" sqref="F17"/>
    </sheetView>
  </sheetViews>
  <sheetFormatPr baseColWidth="10" defaultRowHeight="15" x14ac:dyDescent="0.25"/>
  <cols>
    <col min="1" max="6" width="11.42578125" style="16"/>
    <col min="7" max="7" width="5.140625" style="16" customWidth="1"/>
    <col min="8" max="8" width="28.85546875" style="16" customWidth="1"/>
    <col min="9" max="14" width="11.42578125" style="16"/>
    <col min="15" max="15" width="27" style="16" customWidth="1"/>
    <col min="16" max="16384" width="11.42578125" style="16"/>
  </cols>
  <sheetData>
    <row r="1" spans="1:20" ht="15.75" thickBot="1" x14ac:dyDescent="0.3">
      <c r="A1" s="52" t="s">
        <v>12</v>
      </c>
      <c r="B1" s="53"/>
      <c r="C1" s="53"/>
      <c r="D1" s="53"/>
      <c r="E1" s="53"/>
      <c r="F1" s="53"/>
      <c r="G1" s="53"/>
      <c r="H1" s="53"/>
      <c r="I1" s="53"/>
      <c r="J1" s="54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0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20" x14ac:dyDescent="0.25">
      <c r="A3" s="32"/>
      <c r="B3" s="55" t="s">
        <v>40</v>
      </c>
      <c r="C3" s="55"/>
      <c r="D3" s="55"/>
      <c r="E3" s="55"/>
      <c r="F3" s="55"/>
      <c r="G3" s="32"/>
      <c r="H3" s="32" t="s">
        <v>6</v>
      </c>
      <c r="I3" s="32"/>
      <c r="J3" s="32">
        <f>'Baisse impot 2020'!C8</f>
        <v>30000</v>
      </c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1:20" x14ac:dyDescent="0.25">
      <c r="A4" s="32"/>
      <c r="B4" s="32"/>
      <c r="C4" s="32"/>
      <c r="D4" s="32"/>
      <c r="E4" s="32"/>
      <c r="F4" s="32"/>
      <c r="G4" s="32"/>
      <c r="H4" s="32" t="s">
        <v>7</v>
      </c>
      <c r="I4" s="32"/>
      <c r="J4" s="32">
        <f>'Baisse impot 2020'!C10</f>
        <v>1.5</v>
      </c>
      <c r="K4" s="32"/>
      <c r="L4" s="32"/>
      <c r="M4" s="32">
        <v>0</v>
      </c>
      <c r="N4" s="32"/>
      <c r="O4" s="32" t="s">
        <v>32</v>
      </c>
      <c r="P4" s="32"/>
      <c r="Q4" s="32"/>
      <c r="R4" s="32"/>
      <c r="S4" s="32"/>
      <c r="T4" s="32"/>
    </row>
    <row r="5" spans="1:20" x14ac:dyDescent="0.25">
      <c r="A5" s="32"/>
      <c r="B5" s="32">
        <v>0</v>
      </c>
      <c r="C5" s="32">
        <v>9964</v>
      </c>
      <c r="D5" s="56">
        <f>0</f>
        <v>0</v>
      </c>
      <c r="E5" s="32">
        <f>0</f>
        <v>0</v>
      </c>
      <c r="F5" s="32"/>
      <c r="G5" s="32"/>
      <c r="H5" s="32"/>
      <c r="I5" s="32"/>
      <c r="J5" s="32"/>
      <c r="K5" s="32"/>
      <c r="L5" s="32"/>
      <c r="M5" s="32">
        <v>1</v>
      </c>
      <c r="N5" s="32"/>
      <c r="O5" s="32" t="s">
        <v>31</v>
      </c>
      <c r="P5" s="32"/>
      <c r="Q5" s="32"/>
      <c r="R5" s="32"/>
      <c r="S5" s="32"/>
      <c r="T5" s="32"/>
    </row>
    <row r="6" spans="1:20" x14ac:dyDescent="0.25">
      <c r="A6" s="32"/>
      <c r="B6" s="32">
        <v>9964</v>
      </c>
      <c r="C6" s="32">
        <v>27519</v>
      </c>
      <c r="D6" s="56">
        <f>0.14</f>
        <v>0.14000000000000001</v>
      </c>
      <c r="E6" s="57">
        <f>(C6-B6)*D6</f>
        <v>2457.7000000000003</v>
      </c>
      <c r="F6" s="32"/>
      <c r="G6" s="32"/>
      <c r="H6" s="32"/>
      <c r="I6" s="32"/>
      <c r="J6" s="32"/>
      <c r="K6" s="32"/>
      <c r="L6" s="32"/>
      <c r="M6" s="32">
        <v>2</v>
      </c>
      <c r="N6" s="32"/>
      <c r="O6" s="32" t="s">
        <v>33</v>
      </c>
      <c r="P6" s="32"/>
      <c r="Q6" s="32"/>
      <c r="R6" s="32"/>
      <c r="S6" s="32"/>
      <c r="T6" s="32"/>
    </row>
    <row r="7" spans="1:20" x14ac:dyDescent="0.25">
      <c r="A7" s="32"/>
      <c r="B7" s="32">
        <v>27519</v>
      </c>
      <c r="C7" s="32">
        <v>73779</v>
      </c>
      <c r="D7" s="56">
        <f>0.3</f>
        <v>0.3</v>
      </c>
      <c r="E7" s="32">
        <f>(C7-B7)*0.3</f>
        <v>13878</v>
      </c>
      <c r="F7" s="57">
        <f>E7+E6</f>
        <v>16335.7</v>
      </c>
      <c r="G7" s="32"/>
      <c r="H7" s="32"/>
      <c r="I7" s="32"/>
      <c r="J7" s="32"/>
      <c r="K7" s="32"/>
      <c r="L7" s="32"/>
      <c r="M7" s="32">
        <v>3</v>
      </c>
      <c r="N7" s="32"/>
      <c r="O7" s="32"/>
      <c r="P7" s="32"/>
      <c r="Q7" s="32"/>
      <c r="R7" s="32"/>
      <c r="S7" s="32"/>
      <c r="T7" s="32"/>
    </row>
    <row r="8" spans="1:20" x14ac:dyDescent="0.25">
      <c r="A8" s="32"/>
      <c r="B8" s="32">
        <v>73779</v>
      </c>
      <c r="C8" s="32">
        <v>156244</v>
      </c>
      <c r="D8" s="56">
        <v>0.41</v>
      </c>
      <c r="E8" s="32">
        <f>(C8-B8)*D8</f>
        <v>33810.65</v>
      </c>
      <c r="F8" s="57">
        <f>SUM(E6:E8)</f>
        <v>50146.350000000006</v>
      </c>
      <c r="G8" s="32"/>
      <c r="H8" s="32"/>
      <c r="I8" s="32"/>
      <c r="J8" s="32"/>
      <c r="K8" s="32"/>
      <c r="L8" s="32"/>
      <c r="M8" s="32">
        <v>4</v>
      </c>
      <c r="N8" s="32"/>
      <c r="O8" s="32"/>
      <c r="P8" s="32"/>
      <c r="Q8" s="32"/>
      <c r="R8" s="32"/>
      <c r="S8" s="32"/>
      <c r="T8" s="32"/>
    </row>
    <row r="9" spans="1:20" x14ac:dyDescent="0.25">
      <c r="A9" s="32"/>
      <c r="B9" s="32"/>
      <c r="C9" s="32"/>
      <c r="D9" s="56">
        <f>0.45</f>
        <v>0.45</v>
      </c>
      <c r="E9" s="32"/>
      <c r="F9" s="32"/>
      <c r="G9" s="32"/>
      <c r="H9" s="32"/>
      <c r="I9" s="32"/>
      <c r="J9" s="32"/>
      <c r="K9" s="32"/>
      <c r="L9" s="32"/>
      <c r="M9" s="32">
        <v>5</v>
      </c>
      <c r="N9" s="32"/>
      <c r="O9" s="32"/>
      <c r="P9" s="32"/>
      <c r="Q9" s="32"/>
      <c r="R9" s="32"/>
      <c r="S9" s="32"/>
      <c r="T9" s="32"/>
    </row>
    <row r="10" spans="1:20" x14ac:dyDescent="0.25">
      <c r="A10" s="32"/>
      <c r="B10" s="32"/>
      <c r="C10" s="32"/>
      <c r="D10" s="32"/>
      <c r="E10" s="32"/>
      <c r="F10" s="32"/>
      <c r="G10" s="32"/>
      <c r="H10" s="32" t="s">
        <v>9</v>
      </c>
      <c r="I10" s="32">
        <f>IF(J3&gt;=C8, (J3-C8)*D9+E8+E7+E6, IF(J3&gt;=C7, (J3-C7)*D8+E7+E6, IF(J3&gt;=C6, (J3-C6)*D7+E6, IF(J3&gt;=C5, (J3-C5)*D6, 0))))</f>
        <v>3202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x14ac:dyDescent="0.25">
      <c r="A11" s="32"/>
      <c r="B11" s="32" t="s">
        <v>0</v>
      </c>
      <c r="C11" s="32"/>
      <c r="D11" s="32"/>
      <c r="E11" s="32"/>
      <c r="F11" s="32"/>
      <c r="G11" s="32"/>
      <c r="H11" s="32" t="s">
        <v>8</v>
      </c>
      <c r="I11" s="32">
        <f>IF(J3&gt;=C28, (J3-C28)*D29+E28+E27+E26, IF(J3&gt;=C27, (J3-C27)*D28+E27+E26, IF(J3&gt;=C26, (J3-C26)*D27+E26, IF(J3&gt;=C25, (J3-C25)*D26, 0))))</f>
        <v>2107.5600000000004</v>
      </c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</row>
    <row r="13" spans="1:20" x14ac:dyDescent="0.25">
      <c r="A13" s="32"/>
      <c r="B13" s="32"/>
      <c r="C13" s="32"/>
      <c r="D13" s="32"/>
      <c r="E13" s="32"/>
      <c r="F13" s="32"/>
      <c r="G13" s="32"/>
      <c r="H13" s="32" t="s">
        <v>28</v>
      </c>
      <c r="I13" s="32">
        <f>IF('Baisse impot 2020'!C5="Parent isolé (T)", 1,0)</f>
        <v>0</v>
      </c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0" x14ac:dyDescent="0.25">
      <c r="A14" s="32"/>
      <c r="B14" s="32"/>
      <c r="C14" s="32"/>
      <c r="D14" s="32"/>
      <c r="E14" s="32"/>
      <c r="F14" s="32"/>
      <c r="G14" s="32"/>
      <c r="H14" s="32" t="s">
        <v>29</v>
      </c>
      <c r="I14" s="32">
        <f>IF('Baisse impot 2020'!C5="Enfant élevé seul (L)", 1, 0)</f>
        <v>0</v>
      </c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</row>
    <row r="15" spans="1:20" x14ac:dyDescent="0.25">
      <c r="A15" s="32"/>
      <c r="B15" s="32"/>
      <c r="C15" s="32"/>
      <c r="D15" s="32"/>
      <c r="E15" s="32"/>
      <c r="F15" s="32"/>
      <c r="G15" s="32"/>
      <c r="H15" s="32" t="s">
        <v>30</v>
      </c>
      <c r="I15" s="32">
        <f>IF('Baisse impot 2020'!C5="Invalidité", 1,0)</f>
        <v>0</v>
      </c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</row>
    <row r="16" spans="1:20" x14ac:dyDescent="0.25">
      <c r="A16" s="32"/>
      <c r="B16" s="32"/>
      <c r="C16" s="32"/>
      <c r="D16" s="32"/>
      <c r="E16" s="32"/>
      <c r="F16" s="32"/>
      <c r="G16" s="32"/>
      <c r="H16" s="32" t="s">
        <v>15</v>
      </c>
      <c r="I16" s="32">
        <f>IF('Baisse impot 2020'!C5="", (J4-1)*2, (J4-1)*2-1)</f>
        <v>1</v>
      </c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1:20" x14ac:dyDescent="0.25">
      <c r="A17" s="32">
        <v>1551</v>
      </c>
      <c r="B17" s="32" t="s">
        <v>1</v>
      </c>
      <c r="C17" s="32"/>
      <c r="D17" s="32"/>
      <c r="E17" s="32"/>
      <c r="F17" s="32"/>
      <c r="G17" s="32"/>
      <c r="H17" s="32" t="s">
        <v>10</v>
      </c>
      <c r="I17" s="32">
        <f>I10-A17*I16-I13*A19-I14*A18-I15*A20</f>
        <v>1651</v>
      </c>
      <c r="J17" s="32"/>
      <c r="K17" s="32"/>
      <c r="L17" s="32"/>
      <c r="M17" s="32"/>
      <c r="N17" s="32"/>
      <c r="O17" s="32" t="s">
        <v>23</v>
      </c>
      <c r="P17" s="32">
        <v>0</v>
      </c>
      <c r="Q17" s="32">
        <v>1</v>
      </c>
      <c r="R17" s="32"/>
      <c r="S17" s="32"/>
      <c r="T17" s="32"/>
    </row>
    <row r="18" spans="1:20" x14ac:dyDescent="0.25">
      <c r="A18" s="32">
        <v>927</v>
      </c>
      <c r="B18" s="32" t="s">
        <v>2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>
        <v>1</v>
      </c>
      <c r="Q18" s="32">
        <v>1.5</v>
      </c>
      <c r="R18" s="32"/>
      <c r="S18" s="32"/>
      <c r="T18" s="32"/>
    </row>
    <row r="19" spans="1:20" x14ac:dyDescent="0.25">
      <c r="A19" s="32">
        <f>3660-1551</f>
        <v>2109</v>
      </c>
      <c r="B19" s="32" t="s">
        <v>3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>
        <v>2</v>
      </c>
      <c r="Q19" s="32">
        <v>2</v>
      </c>
      <c r="R19" s="32"/>
      <c r="S19" s="32"/>
      <c r="T19" s="32"/>
    </row>
    <row r="20" spans="1:20" x14ac:dyDescent="0.25">
      <c r="A20" s="32">
        <v>3098</v>
      </c>
      <c r="B20" s="32" t="s">
        <v>4</v>
      </c>
      <c r="C20" s="32"/>
      <c r="D20" s="32"/>
      <c r="E20" s="32"/>
      <c r="F20" s="32"/>
      <c r="G20" s="32"/>
      <c r="H20" s="32" t="s">
        <v>11</v>
      </c>
      <c r="I20" s="32">
        <f>IF(I11&gt;I17, I11, I17)</f>
        <v>2107.5600000000004</v>
      </c>
      <c r="J20" s="32"/>
      <c r="K20" s="32"/>
      <c r="L20" s="32"/>
      <c r="M20" s="32"/>
      <c r="N20" s="32"/>
      <c r="O20" s="32"/>
      <c r="P20" s="32">
        <v>3</v>
      </c>
      <c r="Q20" s="32">
        <v>3</v>
      </c>
      <c r="R20" s="32"/>
      <c r="S20" s="32"/>
      <c r="T20" s="32"/>
    </row>
    <row r="21" spans="1:20" x14ac:dyDescent="0.25">
      <c r="A21" s="32"/>
      <c r="B21" s="32" t="s">
        <v>5</v>
      </c>
      <c r="C21" s="32"/>
      <c r="D21" s="32"/>
      <c r="E21" s="32"/>
      <c r="F21" s="32"/>
      <c r="G21" s="32"/>
      <c r="H21" s="32" t="s">
        <v>17</v>
      </c>
      <c r="I21" s="32">
        <f>IF(I20&lt;=1594, (1594*0.75-I20*0.75), 0)</f>
        <v>0</v>
      </c>
      <c r="J21" s="32"/>
      <c r="K21" s="32"/>
      <c r="L21" s="32"/>
      <c r="M21" s="32"/>
      <c r="N21" s="32"/>
      <c r="O21" s="32"/>
      <c r="P21" s="32">
        <v>4</v>
      </c>
      <c r="Q21" s="32">
        <v>4</v>
      </c>
      <c r="R21" s="32"/>
      <c r="S21" s="32"/>
      <c r="T21" s="32"/>
    </row>
    <row r="22" spans="1:20" x14ac:dyDescent="0.25">
      <c r="A22" s="32"/>
      <c r="B22" s="32"/>
      <c r="C22" s="32"/>
      <c r="D22" s="32"/>
      <c r="E22" s="32"/>
      <c r="F22" s="32"/>
      <c r="G22" s="32"/>
      <c r="H22" s="32" t="s">
        <v>18</v>
      </c>
      <c r="I22" s="32">
        <f>IF(I21&gt;I20, 0, I20-I21)</f>
        <v>2107.5600000000004</v>
      </c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1:20" x14ac:dyDescent="0.25">
      <c r="A23" s="32"/>
      <c r="B23" s="55" t="s">
        <v>24</v>
      </c>
      <c r="C23" s="55"/>
      <c r="D23" s="55"/>
      <c r="E23" s="55"/>
      <c r="F23" s="55"/>
      <c r="G23" s="32"/>
      <c r="H23" s="32"/>
      <c r="I23" s="32"/>
      <c r="J23" s="32"/>
      <c r="K23" s="32"/>
      <c r="L23" s="32"/>
      <c r="M23" s="32"/>
      <c r="N23" s="32"/>
      <c r="O23" s="32" t="s">
        <v>25</v>
      </c>
      <c r="P23" s="32">
        <v>0</v>
      </c>
      <c r="Q23" s="32">
        <v>2</v>
      </c>
      <c r="R23" s="32"/>
      <c r="S23" s="32"/>
      <c r="T23" s="32"/>
    </row>
    <row r="24" spans="1:20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>
        <v>1</v>
      </c>
      <c r="Q24" s="32">
        <v>2.5</v>
      </c>
      <c r="R24" s="32"/>
      <c r="S24" s="32"/>
      <c r="T24" s="32"/>
    </row>
    <row r="25" spans="1:20" x14ac:dyDescent="0.25">
      <c r="A25" s="32"/>
      <c r="B25" s="32">
        <v>0</v>
      </c>
      <c r="C25" s="32">
        <f>C5*$J$4</f>
        <v>14946</v>
      </c>
      <c r="D25" s="56">
        <f>0</f>
        <v>0</v>
      </c>
      <c r="E25" s="32">
        <f>0</f>
        <v>0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>
        <v>2</v>
      </c>
      <c r="Q25" s="32">
        <v>3</v>
      </c>
      <c r="R25" s="32"/>
      <c r="S25" s="32"/>
      <c r="T25" s="32"/>
    </row>
    <row r="26" spans="1:20" x14ac:dyDescent="0.25">
      <c r="A26" s="32"/>
      <c r="B26" s="32">
        <f>B6*$J$4</f>
        <v>14946</v>
      </c>
      <c r="C26" s="32">
        <f>C6*$J$4</f>
        <v>41278.5</v>
      </c>
      <c r="D26" s="56">
        <f>0.14</f>
        <v>0.14000000000000001</v>
      </c>
      <c r="E26" s="57">
        <f>(C26-B26)*D26</f>
        <v>3686.55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>
        <v>3</v>
      </c>
      <c r="Q26" s="32">
        <v>4</v>
      </c>
      <c r="R26" s="32"/>
      <c r="S26" s="32"/>
      <c r="T26" s="32"/>
    </row>
    <row r="27" spans="1:20" x14ac:dyDescent="0.25">
      <c r="A27" s="32"/>
      <c r="B27" s="32">
        <f>B7*$J$4</f>
        <v>41278.5</v>
      </c>
      <c r="C27" s="32">
        <f>C7*$J$4</f>
        <v>110668.5</v>
      </c>
      <c r="D27" s="56">
        <f>0.3</f>
        <v>0.3</v>
      </c>
      <c r="E27" s="32">
        <f>(C27-B27)*0.3</f>
        <v>20817</v>
      </c>
      <c r="F27" s="57">
        <f>E27+E26</f>
        <v>24503.55</v>
      </c>
      <c r="G27" s="32"/>
      <c r="H27" s="32"/>
      <c r="I27" s="32"/>
      <c r="J27" s="32"/>
      <c r="K27" s="32"/>
      <c r="L27" s="32"/>
      <c r="M27" s="32"/>
      <c r="N27" s="32"/>
      <c r="O27" s="32"/>
      <c r="P27" s="32">
        <v>4</v>
      </c>
      <c r="Q27" s="32">
        <v>5</v>
      </c>
      <c r="R27" s="32"/>
      <c r="S27" s="32"/>
      <c r="T27" s="32"/>
    </row>
    <row r="28" spans="1:20" x14ac:dyDescent="0.25">
      <c r="A28" s="32"/>
      <c r="B28" s="32">
        <f>B8*$J$4</f>
        <v>110668.5</v>
      </c>
      <c r="C28" s="32">
        <f>C8*$J$4</f>
        <v>234366</v>
      </c>
      <c r="D28" s="56">
        <v>0.41</v>
      </c>
      <c r="E28" s="32">
        <f>(C28-B28)*D28</f>
        <v>50715.974999999999</v>
      </c>
      <c r="F28" s="57">
        <f>SUM(E26:E28)</f>
        <v>75219.524999999994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spans="1:20" x14ac:dyDescent="0.25">
      <c r="A29" s="32"/>
      <c r="B29" s="32"/>
      <c r="C29" s="32"/>
      <c r="D29" s="56">
        <f>0.45</f>
        <v>0.45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0" ht="15.75" thickBot="1" x14ac:dyDescent="0.3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>
        <f>IF('Baisse impot 2020'!C3="Célibataire-Divorcé-Veuf", VLOOKUP('Baisse impot 2020'!C4, 'Corrige ton impôt'!P17:Q21, 2, FALSE), VLOOKUP('Baisse impot 2020'!C4, 'Corrige ton impôt'!P23:Q27, 2, FALSE))</f>
        <v>1.5</v>
      </c>
      <c r="P30" s="32"/>
      <c r="Q30" s="32"/>
      <c r="R30" s="32"/>
      <c r="S30" s="32"/>
      <c r="T30" s="32"/>
    </row>
    <row r="31" spans="1:20" ht="15.75" thickBot="1" x14ac:dyDescent="0.3">
      <c r="A31" s="52" t="s">
        <v>13</v>
      </c>
      <c r="B31" s="53"/>
      <c r="C31" s="53"/>
      <c r="D31" s="53"/>
      <c r="E31" s="53"/>
      <c r="F31" s="53"/>
      <c r="G31" s="53"/>
      <c r="H31" s="53"/>
      <c r="I31" s="53"/>
      <c r="J31" s="54"/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spans="1:20" x14ac:dyDescent="0.25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spans="1:20" x14ac:dyDescent="0.25">
      <c r="A33" s="32"/>
      <c r="B33" s="32">
        <f>B5*2</f>
        <v>0</v>
      </c>
      <c r="C33" s="32">
        <f>C5*2</f>
        <v>19928</v>
      </c>
      <c r="D33" s="59">
        <v>0</v>
      </c>
      <c r="E33" s="32">
        <v>0</v>
      </c>
      <c r="F33" s="32"/>
      <c r="G33" s="32"/>
      <c r="H33" s="32" t="s">
        <v>14</v>
      </c>
      <c r="I33" s="32">
        <f>IF(J3&gt;=C37, (J3-C37)*D38+E37+E36+E34, IF(J3&gt;=C36, (J3-C36)*D37+E36+E34, IF(J3&gt;=C34, (J3-C34)*D36+E34, IF(J3&gt;=C33, (J3-C33)*D34, 0))))</f>
        <v>1410.0800000000002</v>
      </c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</row>
    <row r="34" spans="1:20" x14ac:dyDescent="0.25">
      <c r="A34" s="32"/>
      <c r="B34" s="32">
        <f t="shared" ref="B34:C34" si="0">B6*2</f>
        <v>19928</v>
      </c>
      <c r="C34" s="32">
        <f t="shared" si="0"/>
        <v>55038</v>
      </c>
      <c r="D34" s="59">
        <v>0.14000000000000001</v>
      </c>
      <c r="E34" s="32">
        <f>(C34-B34)*D34</f>
        <v>4915.4000000000005</v>
      </c>
      <c r="F34" s="32"/>
      <c r="G34" s="32"/>
      <c r="H34" s="32" t="s">
        <v>8</v>
      </c>
      <c r="I34" s="32">
        <f>IF(J3&gt;=C28, (J3-C28)*D29+E28+E27+E26, IF(J3&gt;=C27, (J3-C27)*D28+E27+E26, IF(J3&gt;=C26, (J3-C26)*D27+E26, IF(J3&gt;=C25, (J3-C25)*D26, 0))))</f>
        <v>2107.5600000000004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</row>
    <row r="35" spans="1:20" x14ac:dyDescent="0.25">
      <c r="A35" s="32"/>
      <c r="B35" s="32"/>
      <c r="C35" s="32"/>
      <c r="D35" s="59"/>
      <c r="E35" s="32"/>
      <c r="F35" s="32"/>
      <c r="G35" s="32"/>
      <c r="H35" s="32" t="s">
        <v>30</v>
      </c>
      <c r="I35" s="32">
        <f>IF('Baisse impot 2020'!C5="Invalidité", 1,0)</f>
        <v>0</v>
      </c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</row>
    <row r="36" spans="1:20" x14ac:dyDescent="0.25">
      <c r="A36" s="32"/>
      <c r="B36" s="32">
        <f>B7*2</f>
        <v>55038</v>
      </c>
      <c r="C36" s="32">
        <f>C7*2</f>
        <v>147558</v>
      </c>
      <c r="D36" s="59">
        <v>0.3</v>
      </c>
      <c r="E36" s="32">
        <f>(C36-B36)*D36</f>
        <v>27756</v>
      </c>
      <c r="F36" s="32">
        <f>E34+E36</f>
        <v>32671.4</v>
      </c>
      <c r="G36" s="32"/>
      <c r="H36" s="32" t="s">
        <v>16</v>
      </c>
      <c r="I36" s="32">
        <f>IF('Baisse impot 2020'!C5="", (J4-2)*2, (J4-2)*2-1)</f>
        <v>-1</v>
      </c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</row>
    <row r="37" spans="1:20" x14ac:dyDescent="0.25">
      <c r="A37" s="32"/>
      <c r="B37" s="32">
        <f>B8*2</f>
        <v>147558</v>
      </c>
      <c r="C37" s="32">
        <f>C8*2</f>
        <v>312488</v>
      </c>
      <c r="D37" s="59">
        <v>0.41</v>
      </c>
      <c r="E37" s="32">
        <f>(C37-B37)*D37</f>
        <v>67621.3</v>
      </c>
      <c r="F37" s="32">
        <f>E34+E36+E37</f>
        <v>100292.70000000001</v>
      </c>
      <c r="G37" s="32"/>
      <c r="H37" s="32" t="s">
        <v>10</v>
      </c>
      <c r="I37" s="32">
        <f>I33-A17*I36-I35*A20</f>
        <v>2961.08</v>
      </c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</row>
    <row r="38" spans="1:20" x14ac:dyDescent="0.25">
      <c r="A38" s="32"/>
      <c r="B38" s="32"/>
      <c r="C38" s="32"/>
      <c r="D38" s="59">
        <v>0.45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1:20" x14ac:dyDescent="0.25">
      <c r="A39" s="32"/>
      <c r="B39" s="32"/>
      <c r="C39" s="32"/>
      <c r="D39" s="32"/>
      <c r="E39" s="32"/>
      <c r="F39" s="32"/>
      <c r="G39" s="32"/>
      <c r="H39" s="32" t="s">
        <v>11</v>
      </c>
      <c r="I39" s="32">
        <f>IF(I34&gt;I37, I34, I37)</f>
        <v>2961.08</v>
      </c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</row>
    <row r="40" spans="1:20" x14ac:dyDescent="0.25">
      <c r="A40" s="32"/>
      <c r="B40" s="32"/>
      <c r="C40" s="32"/>
      <c r="D40" s="32"/>
      <c r="E40" s="32"/>
      <c r="F40" s="32"/>
      <c r="G40" s="32"/>
      <c r="H40" s="32" t="s">
        <v>17</v>
      </c>
      <c r="I40" s="32">
        <f>IF(I39&lt;=2626, 2626*0.75-I39*0.75, 0)</f>
        <v>0</v>
      </c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</row>
    <row r="41" spans="1:20" x14ac:dyDescent="0.25">
      <c r="A41" s="32"/>
      <c r="B41" s="32"/>
      <c r="C41" s="32"/>
      <c r="D41" s="32"/>
      <c r="E41" s="32"/>
      <c r="F41" s="32"/>
      <c r="G41" s="32"/>
      <c r="H41" s="32" t="s">
        <v>18</v>
      </c>
      <c r="I41" s="32">
        <f>IF(I40&gt;I39, 0, I39-I40)</f>
        <v>2961.08</v>
      </c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</row>
    <row r="42" spans="1:20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</row>
    <row r="43" spans="1:20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</row>
    <row r="44" spans="1:20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</row>
    <row r="45" spans="1:20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</row>
    <row r="46" spans="1:20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</row>
  </sheetData>
  <sheetProtection algorithmName="SHA-512" hashValue="5f5oKGcZa2o4p8T/cbZon41QrN/36h0QAiyHUjLY6rnJho/cLhOt4jgtS+QQ8QFloUO1phCc1pxJ72iKusrjeQ==" saltValue="dall/gHCVjrp9/emwg53RA==" spinCount="100000" sheet="1" objects="1" scenarios="1"/>
  <mergeCells count="4">
    <mergeCell ref="B3:F3"/>
    <mergeCell ref="B23:F23"/>
    <mergeCell ref="A1:J1"/>
    <mergeCell ref="A31:J31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Baisse impot 2020</vt:lpstr>
      <vt:lpstr>impot2020</vt:lpstr>
      <vt:lpstr>Corrige ton impôt2</vt:lpstr>
      <vt:lpstr>Corrige ton impôt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Tdiringe</dc:creator>
  <cp:lastModifiedBy>Tdiringe</cp:lastModifiedBy>
  <dcterms:created xsi:type="dcterms:W3CDTF">2016-01-07T14:08:27Z</dcterms:created>
  <dcterms:modified xsi:type="dcterms:W3CDTF">2019-11-25T01:06:28Z</dcterms:modified>
</cp:coreProperties>
</file>