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iringe\Desktop\Derniers Excels retenus 2018\"/>
    </mc:Choice>
  </mc:AlternateContent>
  <bookViews>
    <workbookView xWindow="0" yWindow="0" windowWidth="28800" windowHeight="13020"/>
  </bookViews>
  <sheets>
    <sheet name="Impôt 2020 revenus 2019" sheetId="2" r:id="rId1"/>
    <sheet name="Corrige ton impô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R35" i="1"/>
  <c r="O35" i="1"/>
  <c r="O34" i="1"/>
  <c r="I15" i="1" l="1"/>
  <c r="I13" i="1"/>
  <c r="J3" i="1"/>
  <c r="I35" i="1"/>
  <c r="C37" i="1" l="1"/>
  <c r="I14" i="1"/>
  <c r="O30" i="1" l="1"/>
  <c r="C10" i="2" s="1"/>
  <c r="J4" i="1" s="1"/>
  <c r="C34" i="1"/>
  <c r="C36" i="1"/>
  <c r="B37" i="1"/>
  <c r="E37" i="1" s="1"/>
  <c r="B34" i="1"/>
  <c r="B36" i="1"/>
  <c r="B33" i="1"/>
  <c r="C33" i="1"/>
  <c r="I33" i="1" s="1"/>
  <c r="I36" i="1" l="1"/>
  <c r="I37" i="1" s="1"/>
  <c r="I16" i="1"/>
  <c r="C28" i="1"/>
  <c r="B26" i="1"/>
  <c r="E36" i="1"/>
  <c r="F37" i="1" s="1"/>
  <c r="E34" i="1"/>
  <c r="C25" i="1"/>
  <c r="F36" i="1" l="1"/>
  <c r="C26" i="1"/>
  <c r="C27" i="1"/>
  <c r="B27" i="1"/>
  <c r="B28" i="1"/>
  <c r="D29" i="1"/>
  <c r="D27" i="1"/>
  <c r="D26" i="1"/>
  <c r="E25" i="1"/>
  <c r="D25" i="1"/>
  <c r="I34" i="1" l="1"/>
  <c r="I39" i="1" s="1"/>
  <c r="I40" i="1" s="1"/>
  <c r="E27" i="1"/>
  <c r="E28" i="1"/>
  <c r="E26" i="1"/>
  <c r="I11" i="1" s="1"/>
  <c r="E8" i="1"/>
  <c r="E7" i="1"/>
  <c r="E5" i="1"/>
  <c r="D9" i="1"/>
  <c r="D7" i="1"/>
  <c r="D6" i="1"/>
  <c r="E6" i="1" s="1"/>
  <c r="I10" i="1" s="1"/>
  <c r="I17" i="1" s="1"/>
  <c r="D5" i="1"/>
  <c r="I20" i="1" l="1"/>
  <c r="I21" i="1" s="1"/>
  <c r="I41" i="1"/>
  <c r="F28" i="1"/>
  <c r="F8" i="1"/>
  <c r="F7" i="1"/>
  <c r="F27" i="1"/>
  <c r="C12" i="2" l="1"/>
  <c r="I22" i="1" l="1"/>
  <c r="C14" i="2" s="1"/>
  <c r="C13" i="2"/>
</calcChain>
</file>

<file path=xl/sharedStrings.xml><?xml version="1.0" encoding="utf-8"?>
<sst xmlns="http://schemas.openxmlformats.org/spreadsheetml/2006/main" count="52" uniqueCount="43">
  <si>
    <t>Plafonnement quotient familial</t>
  </si>
  <si>
    <t>demi-part générale</t>
  </si>
  <si>
    <t>Personnes seules élevé pendant cinq ans</t>
  </si>
  <si>
    <t>part entière premier enfant charge si on élève seul</t>
  </si>
  <si>
    <t>invalidité, combattant</t>
  </si>
  <si>
    <t>maintien quotient conjugal veuf</t>
  </si>
  <si>
    <t>Revenu net imposable</t>
  </si>
  <si>
    <t>nombre de part</t>
  </si>
  <si>
    <t>Ir selon parts</t>
  </si>
  <si>
    <t>Ir une part</t>
  </si>
  <si>
    <t>IR plafonné</t>
  </si>
  <si>
    <t>Impôt retenu</t>
  </si>
  <si>
    <t>CELIBATAIRE DIVORCE VEUF</t>
  </si>
  <si>
    <t>COUPLE PACS</t>
  </si>
  <si>
    <t>Ir deux parts</t>
  </si>
  <si>
    <t>demi-parts au dessus de un</t>
  </si>
  <si>
    <t>demi-parts au dessus de deux</t>
  </si>
  <si>
    <t>Décôte</t>
  </si>
  <si>
    <t>Impôt final</t>
  </si>
  <si>
    <t>Impôt sur le revenu</t>
  </si>
  <si>
    <t>Situation familiale</t>
  </si>
  <si>
    <t>Nombre de parts</t>
  </si>
  <si>
    <t>Impôt avant décôte</t>
  </si>
  <si>
    <t>Célibataire-Divorcé-Veuf</t>
  </si>
  <si>
    <t>TMI 2017 avec parts</t>
  </si>
  <si>
    <t>Marié-Pacsé</t>
  </si>
  <si>
    <t>Nombre d'enfants à charge</t>
  </si>
  <si>
    <t>Situation particulière</t>
  </si>
  <si>
    <t>Case T</t>
  </si>
  <si>
    <t>Case L</t>
  </si>
  <si>
    <t>Handicap</t>
  </si>
  <si>
    <t>Enfant élevé seul (L)</t>
  </si>
  <si>
    <t>Parent isolé (T)</t>
  </si>
  <si>
    <t>Invalidité</t>
  </si>
  <si>
    <t>La case L et la case T ne sont pas possibles si vous êtes mariés/pacsés. Cliquez ici pour lire notre article expliquant si vous pouvez bénéficiez de l'avantage fiscal pour la case T ou la case L si vous vivez seul.</t>
  </si>
  <si>
    <t>Revenu net imposable (RNI)</t>
  </si>
  <si>
    <t>Le revenu imposable est le revenu après avoir enlevé les déductions ("salaires - 10%/frais réels"; "loyers - abattements"; "dividendes - 40%"...). Ce n'est pas le revenu fiscal de référence. Retrouvez le détail du RNI sur cet article.</t>
  </si>
  <si>
    <t>https://www.corrigetonimpot.fr/</t>
  </si>
  <si>
    <t>Remplir les cases bleues uniquement!</t>
  </si>
  <si>
    <t>TMI 2019</t>
  </si>
  <si>
    <t>Simulateur de l'impôt 2020 sur les revenus 2019</t>
  </si>
  <si>
    <t>Si votre impôt est inférieur à 1 611 € (personne seule) ou 2 653 € (couple), une décote est appliquée avant l'impôt final.</t>
  </si>
  <si>
    <t>Les réductions et crédits d'impôt s'imputeront sur l'impôt final en rouge. Si vous avez un revenu fiscal de référence inférieur à 20 800 € environ (41 400 € pour un couple), un abattement supplémentaire de l'ordre de 20% s'appliquera.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</si>
</sst>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0"/>
      <color theme="0" tint="-4.9989318521683403E-2"/>
      <name val="Calibri"/>
      <family val="2"/>
      <scheme val="minor"/>
    </font>
    <font>
      <sz val="60"/>
      <color theme="0" tint="-4.9989318521683403E-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3" borderId="0" xfId="0" applyFill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164" fontId="4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7" fillId="2" borderId="9" xfId="0" applyFont="1" applyFill="1" applyBorder="1" applyAlignment="1" applyProtection="1">
      <alignment horizontal="center" vertical="center"/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0" fontId="17" fillId="4" borderId="0" xfId="0" applyFont="1" applyFill="1" applyProtection="1">
      <protection hidden="1"/>
    </xf>
    <xf numFmtId="9" fontId="17" fillId="4" borderId="0" xfId="1" applyNumberFormat="1" applyFont="1" applyFill="1" applyProtection="1">
      <protection hidden="1"/>
    </xf>
    <xf numFmtId="1" fontId="17" fillId="4" borderId="0" xfId="0" applyNumberFormat="1" applyFont="1" applyFill="1" applyProtection="1">
      <protection hidden="1"/>
    </xf>
    <xf numFmtId="0" fontId="17" fillId="4" borderId="0" xfId="0" applyFont="1" applyFill="1" applyAlignment="1" applyProtection="1">
      <alignment horizontal="center"/>
      <protection hidden="1"/>
    </xf>
    <xf numFmtId="9" fontId="17" fillId="4" borderId="0" xfId="1" applyFont="1" applyFill="1" applyProtection="1">
      <protection hidden="1"/>
    </xf>
    <xf numFmtId="0" fontId="11" fillId="3" borderId="4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11" fillId="3" borderId="5" xfId="0" applyFont="1" applyFill="1" applyBorder="1" applyAlignment="1" applyProtection="1">
      <alignment horizontal="center"/>
      <protection hidden="1"/>
    </xf>
    <xf numFmtId="0" fontId="15" fillId="3" borderId="14" xfId="2" applyFont="1" applyFill="1" applyBorder="1" applyAlignment="1" applyProtection="1">
      <alignment horizontal="center" vertical="center" wrapText="1"/>
      <protection hidden="1"/>
    </xf>
    <xf numFmtId="0" fontId="15" fillId="3" borderId="0" xfId="2" applyFont="1" applyFill="1" applyBorder="1" applyAlignment="1" applyProtection="1">
      <alignment horizontal="center" vertical="center" wrapText="1"/>
      <protection hidden="1"/>
    </xf>
    <xf numFmtId="0" fontId="15" fillId="3" borderId="5" xfId="2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13" fillId="3" borderId="4" xfId="2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0" fontId="5" fillId="3" borderId="12" xfId="0" applyFont="1" applyFill="1" applyBorder="1" applyAlignment="1" applyProtection="1">
      <alignment horizontal="center"/>
      <protection hidden="1"/>
    </xf>
    <xf numFmtId="0" fontId="5" fillId="3" borderId="13" xfId="0" applyFont="1" applyFill="1" applyBorder="1" applyAlignment="1" applyProtection="1">
      <alignment horizont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5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18" fillId="4" borderId="2" xfId="0" applyFont="1" applyFill="1" applyBorder="1" applyAlignment="1" applyProtection="1">
      <alignment horizontal="center"/>
      <protection hidden="1"/>
    </xf>
    <xf numFmtId="0" fontId="18" fillId="4" borderId="3" xfId="0" applyFont="1" applyFill="1" applyBorder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rrigetonimpo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18</xdr:col>
      <xdr:colOff>676275</xdr:colOff>
      <xdr:row>35</xdr:row>
      <xdr:rowOff>161925</xdr:rowOff>
    </xdr:to>
    <xdr:pic>
      <xdr:nvPicPr>
        <xdr:cNvPr id="3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625"/>
          <a:ext cx="1631632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rigetonimpot.fr/2017/02/13/revenu-net-imposable-et-revenu-fiscal-de-reference-attention-au-mauvais-placement-si-vous-ne-faites-pas-la-difference/" TargetMode="External"/><Relationship Id="rId2" Type="http://schemas.openxmlformats.org/officeDocument/2006/relationships/hyperlink" Target="https://www.corrigetonimpot.fr/2017/10/26/impot-personne-seule-vivant-demi-part-parent-isole/" TargetMode="External"/><Relationship Id="rId1" Type="http://schemas.openxmlformats.org/officeDocument/2006/relationships/hyperlink" Target="https://www.corrigetonimpot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workbookViewId="0">
      <selection activeCell="C9" sqref="C9"/>
    </sheetView>
  </sheetViews>
  <sheetFormatPr baseColWidth="10" defaultRowHeight="15" x14ac:dyDescent="0.25"/>
  <cols>
    <col min="1" max="1" width="11.42578125" style="1"/>
    <col min="2" max="2" width="22.7109375" style="1" customWidth="1"/>
    <col min="3" max="3" width="29" style="1" customWidth="1"/>
    <col min="4" max="16384" width="11.42578125" style="1"/>
  </cols>
  <sheetData>
    <row r="1" spans="1:29" ht="28.5" x14ac:dyDescent="0.45">
      <c r="A1" s="40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37" t="s">
        <v>37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3" t="s">
        <v>38</v>
      </c>
      <c r="L2" s="43"/>
      <c r="M2" s="43"/>
      <c r="N2" s="44"/>
      <c r="O2" s="39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28.5" customHeight="1" x14ac:dyDescent="0.25">
      <c r="A3" s="5" t="s">
        <v>20</v>
      </c>
      <c r="B3" s="6"/>
      <c r="C3" s="22" t="s">
        <v>25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9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28.5" customHeight="1" x14ac:dyDescent="0.25">
      <c r="A4" s="5" t="s">
        <v>26</v>
      </c>
      <c r="B4" s="6"/>
      <c r="C4" s="22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9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 ht="28.5" customHeight="1" x14ac:dyDescent="0.25">
      <c r="A5" s="5" t="s">
        <v>27</v>
      </c>
      <c r="B5" s="6"/>
      <c r="C5" s="23" t="s">
        <v>33</v>
      </c>
      <c r="D5" s="32" t="s">
        <v>34</v>
      </c>
      <c r="E5" s="33"/>
      <c r="F5" s="33"/>
      <c r="G5" s="33"/>
      <c r="H5" s="33"/>
      <c r="I5" s="33"/>
      <c r="J5" s="33"/>
      <c r="K5" s="33"/>
      <c r="L5" s="33"/>
      <c r="M5" s="33"/>
      <c r="N5" s="34"/>
      <c r="O5" s="39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ht="28.5" customHeight="1" x14ac:dyDescent="0.25">
      <c r="A6" s="5"/>
      <c r="B6" s="6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39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29" ht="28.5" hidden="1" customHeight="1" x14ac:dyDescent="0.25">
      <c r="A7" s="5"/>
      <c r="B7" s="6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39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29" ht="28.5" customHeight="1" x14ac:dyDescent="0.25">
      <c r="A8" s="5" t="s">
        <v>35</v>
      </c>
      <c r="B8" s="6"/>
      <c r="C8" s="22">
        <v>40000</v>
      </c>
      <c r="D8" s="32" t="s">
        <v>36</v>
      </c>
      <c r="E8" s="33"/>
      <c r="F8" s="33"/>
      <c r="G8" s="33"/>
      <c r="H8" s="33"/>
      <c r="I8" s="33"/>
      <c r="J8" s="33"/>
      <c r="K8" s="33"/>
      <c r="L8" s="33"/>
      <c r="M8" s="33"/>
      <c r="N8" s="34"/>
      <c r="O8" s="39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ht="28.5" customHeight="1" x14ac:dyDescent="0.25">
      <c r="A9" s="8"/>
      <c r="B9" s="6"/>
      <c r="C9" s="9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39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29" ht="28.5" customHeight="1" x14ac:dyDescent="0.25">
      <c r="A10" s="10" t="s">
        <v>21</v>
      </c>
      <c r="B10" s="11"/>
      <c r="C10" s="12">
        <f>IF(C5="", 'Corrige ton impôt'!O30, 'Corrige ton impôt'!O30+0.5)</f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39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ht="28.5" customHeight="1" x14ac:dyDescent="0.25">
      <c r="A11" s="8"/>
      <c r="B11" s="6"/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39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ht="28.5" customHeight="1" x14ac:dyDescent="0.25">
      <c r="A12" s="13" t="s">
        <v>22</v>
      </c>
      <c r="B12" s="14"/>
      <c r="C12" s="15">
        <f>IF(C3="Célibataire-Divorcé-Veuf", 'Corrige ton impôt'!I20, 'Corrige ton impôt'!I39)</f>
        <v>1373.1200000000001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39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1:29" ht="28.5" customHeight="1" x14ac:dyDescent="0.25">
      <c r="A13" s="13" t="s">
        <v>17</v>
      </c>
      <c r="B13" s="14"/>
      <c r="C13" s="15">
        <f>IF(C3="Célibataire-Divorcé-Veuf", 'Corrige ton impôt'!I21, 'Corrige ton impôt'!I40)</f>
        <v>959.90999999999985</v>
      </c>
      <c r="D13" s="35" t="s">
        <v>41</v>
      </c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39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1:29" ht="34.5" customHeight="1" x14ac:dyDescent="0.25">
      <c r="A14" s="16" t="s">
        <v>19</v>
      </c>
      <c r="B14" s="17"/>
      <c r="C14" s="18">
        <f>IF(C3="Célibataire-Divorcé-Veuf", 'Corrige ton impôt'!I22, 'Corrige ton impôt'!I41)</f>
        <v>413.21000000000026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39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29" x14ac:dyDescent="0.25">
      <c r="A15" s="29" t="s">
        <v>42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9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1:29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39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:29" hidden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39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5" hidden="1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39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1:29" ht="15.75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39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</sheetData>
  <sheetProtection algorithmName="SHA-512" hashValue="MawWyDL9gSqVtZTor1bFsy0OcDqjrJ04mq28fMljrUq+Hkqb16vJ6v5JuWz2mUu9nvA1xv0pelDEdnE48L+VFA==" saltValue="JdzN/bwpu9I2ElSQeJq3ew==" spinCount="100000" sheet="1" objects="1" scenarios="1"/>
  <mergeCells count="7">
    <mergeCell ref="A15:N15"/>
    <mergeCell ref="D5:N5"/>
    <mergeCell ref="D8:N8"/>
    <mergeCell ref="D13:N13"/>
    <mergeCell ref="O1:AC19"/>
    <mergeCell ref="A1:N1"/>
    <mergeCell ref="K2:N2"/>
  </mergeCells>
  <dataValidations count="1">
    <dataValidation type="list" allowBlank="1" showInputMessage="1" showErrorMessage="1" sqref="C3">
      <formula1>"Célibataire-Divorcé-Veuf,Marié-Pacsé"</formula1>
    </dataValidation>
  </dataValidations>
  <hyperlinks>
    <hyperlink ref="O1" r:id="rId1"/>
    <hyperlink ref="D5:N5" r:id="rId2" display="La case L et la case T ne sont pas possibles si vous êtes mariés/pacsés. Cliquez ici pour lire notre article expliquant si vous pouvez bénéficiez de l'avantage fiscal pour la case T ou la case L si vous vivez seul."/>
    <hyperlink ref="D8:N8" r:id="rId3" display="Le revenu imposable est le revenu après avoir enlevé les déductions (&quot;salaires - 10%/frais réels&quot;; &quot;loyers - abattements&quot;; &quot;dividendes - 40%&quot;...). Ce n'est pas le revenu fiscal de référence. Retrouvez le détail du RNI sur cet article."/>
  </hyperlinks>
  <pageMargins left="0.7" right="0.7" top="0.75" bottom="0.75" header="0.3" footer="0.3"/>
  <pageSetup paperSize="9" orientation="portrait" horizontalDpi="0" verticalDpi="0" r:id="rId4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'Corrige ton impôt'!$M$4:$M$8</xm:f>
          </x14:formula1>
          <xm:sqref>C4</xm:sqref>
        </x14:dataValidation>
        <x14:dataValidation type="list" allowBlank="1" showInputMessage="1" showErrorMessage="1">
          <x14:formula1>
            <xm:f>'Corrige ton impôt'!$O$4:$O$6</xm:f>
          </x14:formula1>
          <xm:sqref>C6</xm:sqref>
        </x14:dataValidation>
        <x14:dataValidation type="list" allowBlank="1" showInputMessage="1" showErrorMessage="1">
          <x14:formula1>
            <xm:f>'Corrige ton impôt'!$O$3:$O$6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H26" sqref="H26"/>
    </sheetView>
  </sheetViews>
  <sheetFormatPr baseColWidth="10" defaultRowHeight="15" x14ac:dyDescent="0.25"/>
  <cols>
    <col min="1" max="6" width="11.42578125" style="24"/>
    <col min="7" max="7" width="5.140625" style="24" customWidth="1"/>
    <col min="8" max="8" width="28.85546875" style="24" customWidth="1"/>
    <col min="9" max="14" width="11.42578125" style="24"/>
    <col min="15" max="15" width="27" style="24" customWidth="1"/>
    <col min="16" max="16384" width="11.42578125" style="24"/>
  </cols>
  <sheetData>
    <row r="1" spans="1:15" ht="15.75" thickBot="1" x14ac:dyDescent="0.3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8"/>
    </row>
    <row r="3" spans="1:15" x14ac:dyDescent="0.25">
      <c r="B3" s="45" t="s">
        <v>39</v>
      </c>
      <c r="C3" s="45"/>
      <c r="D3" s="45"/>
      <c r="E3" s="45"/>
      <c r="F3" s="45"/>
      <c r="H3" s="24" t="s">
        <v>6</v>
      </c>
      <c r="J3" s="24">
        <f>'Impôt 2020 revenus 2019'!C8</f>
        <v>40000</v>
      </c>
    </row>
    <row r="4" spans="1:15" x14ac:dyDescent="0.25">
      <c r="H4" s="24" t="s">
        <v>7</v>
      </c>
      <c r="J4" s="24">
        <f>'Impôt 2020 revenus 2019'!C10</f>
        <v>3</v>
      </c>
      <c r="M4" s="24">
        <v>0</v>
      </c>
      <c r="O4" s="24" t="s">
        <v>32</v>
      </c>
    </row>
    <row r="5" spans="1:15" x14ac:dyDescent="0.25">
      <c r="B5" s="24">
        <v>0</v>
      </c>
      <c r="C5" s="24">
        <v>10064</v>
      </c>
      <c r="D5" s="25">
        <f>0</f>
        <v>0</v>
      </c>
      <c r="E5" s="24">
        <f>0</f>
        <v>0</v>
      </c>
      <c r="M5" s="24">
        <v>1</v>
      </c>
      <c r="O5" s="24" t="s">
        <v>31</v>
      </c>
    </row>
    <row r="6" spans="1:15" x14ac:dyDescent="0.25">
      <c r="B6" s="24">
        <v>10064</v>
      </c>
      <c r="C6" s="24">
        <v>27794</v>
      </c>
      <c r="D6" s="25">
        <f>0.14</f>
        <v>0.14000000000000001</v>
      </c>
      <c r="E6" s="26">
        <f>(C6-B6)*D6</f>
        <v>2482.2000000000003</v>
      </c>
      <c r="M6" s="24">
        <v>2</v>
      </c>
      <c r="O6" s="24" t="s">
        <v>33</v>
      </c>
    </row>
    <row r="7" spans="1:15" x14ac:dyDescent="0.25">
      <c r="B7" s="24">
        <v>27794</v>
      </c>
      <c r="C7" s="24">
        <v>74517</v>
      </c>
      <c r="D7" s="25">
        <f>0.3</f>
        <v>0.3</v>
      </c>
      <c r="E7" s="24">
        <f>(C7-B7)*0.3</f>
        <v>14016.9</v>
      </c>
      <c r="F7" s="26">
        <f>E7+E6</f>
        <v>16499.099999999999</v>
      </c>
      <c r="M7" s="24">
        <v>3</v>
      </c>
    </row>
    <row r="8" spans="1:15" x14ac:dyDescent="0.25">
      <c r="B8" s="24">
        <v>74517</v>
      </c>
      <c r="C8" s="24">
        <v>157806</v>
      </c>
      <c r="D8" s="25">
        <v>0.41</v>
      </c>
      <c r="E8" s="24">
        <f>(C8-B8)*D8</f>
        <v>34148.49</v>
      </c>
      <c r="F8" s="26">
        <f>SUM(E6:E8)</f>
        <v>50647.59</v>
      </c>
      <c r="M8" s="24">
        <v>4</v>
      </c>
    </row>
    <row r="9" spans="1:15" x14ac:dyDescent="0.25">
      <c r="D9" s="25">
        <f>0.45</f>
        <v>0.45</v>
      </c>
      <c r="M9" s="24">
        <v>5</v>
      </c>
    </row>
    <row r="10" spans="1:15" x14ac:dyDescent="0.25">
      <c r="H10" s="24" t="s">
        <v>9</v>
      </c>
      <c r="I10" s="24">
        <f>IF(J3&gt;=C8, (J3-C8)*D9+E8+E7+E6, IF(J3&gt;=C7, (J3-C7)*D8+E7+E6, IF(J3&gt;=C6, (J3-C6)*D7+E6, IF(J3&gt;=C5, (J3-C5)*D6, 0))))</f>
        <v>6144</v>
      </c>
    </row>
    <row r="11" spans="1:15" x14ac:dyDescent="0.25">
      <c r="B11" s="24" t="s">
        <v>0</v>
      </c>
      <c r="H11" s="24" t="s">
        <v>8</v>
      </c>
      <c r="I11" s="24">
        <f>IF(J3&gt;=C28, (J3-C28)*D29+E28+E27+E26, IF(J3&gt;=C27, (J3-C27)*D28+E27+E26, IF(J3&gt;=C26, (J3-C26)*D27+E26, IF(J3&gt;=C25, (J3-C25)*D26, 0))))</f>
        <v>1373.1200000000001</v>
      </c>
    </row>
    <row r="13" spans="1:15" x14ac:dyDescent="0.25">
      <c r="H13" s="24" t="s">
        <v>28</v>
      </c>
      <c r="I13" s="24">
        <f>IF('Impôt 2020 revenus 2019'!C5="Parent isolé (T)", 1,0)</f>
        <v>0</v>
      </c>
    </row>
    <row r="14" spans="1:15" x14ac:dyDescent="0.25">
      <c r="H14" s="24" t="s">
        <v>29</v>
      </c>
      <c r="I14" s="24">
        <f>IF('Impôt 2020 revenus 2019'!C5="Enfant élevé seul (L)", 1, 0)</f>
        <v>0</v>
      </c>
    </row>
    <row r="15" spans="1:15" x14ac:dyDescent="0.25">
      <c r="H15" s="24" t="s">
        <v>30</v>
      </c>
      <c r="I15" s="24">
        <f>IF('Impôt 2020 revenus 2019'!C5="Invalidité", 1,0)</f>
        <v>1</v>
      </c>
    </row>
    <row r="16" spans="1:15" x14ac:dyDescent="0.25">
      <c r="H16" s="24" t="s">
        <v>15</v>
      </c>
      <c r="I16" s="24">
        <f>IF('Impôt 2020 revenus 2019'!C5="", (J4-1)*2, (J4-1)*2-1)</f>
        <v>3</v>
      </c>
    </row>
    <row r="17" spans="1:17" x14ac:dyDescent="0.25">
      <c r="A17" s="24">
        <v>1567</v>
      </c>
      <c r="B17" s="24" t="s">
        <v>1</v>
      </c>
      <c r="H17" s="24" t="s">
        <v>10</v>
      </c>
      <c r="I17" s="24">
        <f>I10-A17*I16-I13*A19-I14*A18-I15*A20</f>
        <v>-1686</v>
      </c>
      <c r="O17" s="24" t="s">
        <v>23</v>
      </c>
      <c r="P17" s="24">
        <v>0</v>
      </c>
      <c r="Q17" s="24">
        <v>1</v>
      </c>
    </row>
    <row r="18" spans="1:17" x14ac:dyDescent="0.25">
      <c r="A18" s="24">
        <v>936</v>
      </c>
      <c r="B18" s="24" t="s">
        <v>2</v>
      </c>
      <c r="P18" s="24">
        <v>1</v>
      </c>
      <c r="Q18" s="24">
        <v>1.5</v>
      </c>
    </row>
    <row r="19" spans="1:17" x14ac:dyDescent="0.25">
      <c r="A19" s="24">
        <f>3697-1567</f>
        <v>2130</v>
      </c>
      <c r="B19" s="24" t="s">
        <v>3</v>
      </c>
      <c r="P19" s="24">
        <v>2</v>
      </c>
      <c r="Q19" s="24">
        <v>2</v>
      </c>
    </row>
    <row r="20" spans="1:17" x14ac:dyDescent="0.25">
      <c r="A20" s="24">
        <v>3129</v>
      </c>
      <c r="B20" s="24" t="s">
        <v>4</v>
      </c>
      <c r="H20" s="24" t="s">
        <v>11</v>
      </c>
      <c r="I20" s="24">
        <f>IF(I11&gt;I17, I11, I17)</f>
        <v>1373.1200000000001</v>
      </c>
      <c r="P20" s="24">
        <v>3</v>
      </c>
      <c r="Q20" s="24">
        <v>3</v>
      </c>
    </row>
    <row r="21" spans="1:17" x14ac:dyDescent="0.25">
      <c r="B21" s="24" t="s">
        <v>5</v>
      </c>
      <c r="H21" s="24" t="s">
        <v>17</v>
      </c>
      <c r="I21" s="24">
        <f>IF(I20&lt;=1611, (1611*0.75-I20*0.75), 0)</f>
        <v>178.40999999999985</v>
      </c>
      <c r="P21" s="24">
        <v>4</v>
      </c>
      <c r="Q21" s="24">
        <v>4</v>
      </c>
    </row>
    <row r="22" spans="1:17" x14ac:dyDescent="0.25">
      <c r="H22" s="24" t="s">
        <v>18</v>
      </c>
      <c r="I22" s="24">
        <f>IF(I21&gt;I20, 0, I20-I21)</f>
        <v>1194.7100000000003</v>
      </c>
    </row>
    <row r="23" spans="1:17" x14ac:dyDescent="0.25">
      <c r="B23" s="45" t="s">
        <v>24</v>
      </c>
      <c r="C23" s="45"/>
      <c r="D23" s="45"/>
      <c r="E23" s="45"/>
      <c r="F23" s="45"/>
      <c r="O23" s="24" t="s">
        <v>25</v>
      </c>
      <c r="P23" s="24">
        <v>0</v>
      </c>
      <c r="Q23" s="24">
        <v>2</v>
      </c>
    </row>
    <row r="24" spans="1:17" x14ac:dyDescent="0.25">
      <c r="P24" s="24">
        <v>1</v>
      </c>
      <c r="Q24" s="24">
        <v>2.5</v>
      </c>
    </row>
    <row r="25" spans="1:17" x14ac:dyDescent="0.25">
      <c r="B25" s="24">
        <v>0</v>
      </c>
      <c r="C25" s="24">
        <f>C5*$J$4</f>
        <v>30192</v>
      </c>
      <c r="D25" s="25">
        <f>0</f>
        <v>0</v>
      </c>
      <c r="E25" s="24">
        <f>0</f>
        <v>0</v>
      </c>
      <c r="P25" s="24">
        <v>2</v>
      </c>
      <c r="Q25" s="24">
        <v>3</v>
      </c>
    </row>
    <row r="26" spans="1:17" x14ac:dyDescent="0.25">
      <c r="B26" s="24">
        <f>B6*$J$4</f>
        <v>30192</v>
      </c>
      <c r="C26" s="24">
        <f>C6*$J$4</f>
        <v>83382</v>
      </c>
      <c r="D26" s="25">
        <f>0.14</f>
        <v>0.14000000000000001</v>
      </c>
      <c r="E26" s="26">
        <f>(C26-B26)*D26</f>
        <v>7446.6</v>
      </c>
      <c r="P26" s="24">
        <v>3</v>
      </c>
      <c r="Q26" s="24">
        <v>4</v>
      </c>
    </row>
    <row r="27" spans="1:17" x14ac:dyDescent="0.25">
      <c r="B27" s="24">
        <f>B7*$J$4</f>
        <v>83382</v>
      </c>
      <c r="C27" s="24">
        <f>C7*$J$4</f>
        <v>223551</v>
      </c>
      <c r="D27" s="25">
        <f>0.3</f>
        <v>0.3</v>
      </c>
      <c r="E27" s="24">
        <f>(C27-B27)*0.3</f>
        <v>42050.7</v>
      </c>
      <c r="F27" s="26">
        <f>E27+E26</f>
        <v>49497.299999999996</v>
      </c>
      <c r="P27" s="24">
        <v>4</v>
      </c>
      <c r="Q27" s="24">
        <v>5</v>
      </c>
    </row>
    <row r="28" spans="1:17" x14ac:dyDescent="0.25">
      <c r="B28" s="24">
        <f>B8*$J$4</f>
        <v>223551</v>
      </c>
      <c r="C28" s="24">
        <f>C8*$J$4</f>
        <v>473418</v>
      </c>
      <c r="D28" s="25">
        <v>0.41</v>
      </c>
      <c r="E28" s="24">
        <f>(C28-B28)*D28</f>
        <v>102445.47</v>
      </c>
      <c r="F28" s="26">
        <f>SUM(E26:E28)</f>
        <v>151942.76999999999</v>
      </c>
    </row>
    <row r="29" spans="1:17" x14ac:dyDescent="0.25">
      <c r="D29" s="25">
        <f>0.45</f>
        <v>0.45</v>
      </c>
    </row>
    <row r="30" spans="1:17" ht="15.75" thickBot="1" x14ac:dyDescent="0.3">
      <c r="O30" s="24">
        <f>IF('Impôt 2020 revenus 2019'!C3="Célibataire-Divorcé-Veuf", VLOOKUP('Impôt 2020 revenus 2019'!C4, 'Corrige ton impôt'!P17:Q21, 2, FALSE), VLOOKUP('Impôt 2020 revenus 2019'!C4, 'Corrige ton impôt'!P23:Q27, 2, FALSE))</f>
        <v>2.5</v>
      </c>
    </row>
    <row r="31" spans="1:17" ht="15.75" thickBot="1" x14ac:dyDescent="0.3">
      <c r="A31" s="46" t="s">
        <v>13</v>
      </c>
      <c r="B31" s="47"/>
      <c r="C31" s="47"/>
      <c r="D31" s="47"/>
      <c r="E31" s="47"/>
      <c r="F31" s="47"/>
      <c r="G31" s="47"/>
      <c r="H31" s="47"/>
      <c r="I31" s="47"/>
      <c r="J31" s="48"/>
    </row>
    <row r="32" spans="1:17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2:19" x14ac:dyDescent="0.25">
      <c r="B33" s="24">
        <f>B5*2</f>
        <v>0</v>
      </c>
      <c r="C33" s="24">
        <f>C5*2</f>
        <v>20128</v>
      </c>
      <c r="D33" s="28">
        <v>0</v>
      </c>
      <c r="E33" s="24">
        <v>0</v>
      </c>
      <c r="H33" s="24" t="s">
        <v>14</v>
      </c>
      <c r="I33" s="24">
        <f>IF(J3&gt;=C37, (J3-C37)*D38+E37+E36+E34, IF(J3&gt;=C36, (J3-C36)*D37+E36+E34, IF(J3&gt;=C34, (J3-C34)*D36+E34, IF(J3&gt;=C33, (J3-C33)*D34, 0))))</f>
        <v>2782.0800000000004</v>
      </c>
    </row>
    <row r="34" spans="2:19" x14ac:dyDescent="0.25">
      <c r="B34" s="24">
        <f t="shared" ref="B34:C34" si="0">B6*2</f>
        <v>20128</v>
      </c>
      <c r="C34" s="24">
        <f t="shared" si="0"/>
        <v>55588</v>
      </c>
      <c r="D34" s="28">
        <v>0.14000000000000001</v>
      </c>
      <c r="E34" s="24">
        <f>(C34-B34)*D34</f>
        <v>4964.4000000000005</v>
      </c>
      <c r="H34" s="24" t="s">
        <v>8</v>
      </c>
      <c r="I34" s="24">
        <f>IF(J3&gt;=C28, (J3-C28)*D29+E28+E27+E26, IF(J3&gt;=C27, (J3-C27)*D28+E27+E26, IF(J3&gt;=C26, (J3-C26)*D27+E26, IF(J3&gt;=C25, (J3-C25)*D26, 0))))</f>
        <v>1373.1200000000001</v>
      </c>
      <c r="O34" s="24">
        <f>1196*1.01</f>
        <v>1207.96</v>
      </c>
    </row>
    <row r="35" spans="2:19" x14ac:dyDescent="0.25">
      <c r="D35" s="28"/>
      <c r="H35" s="24" t="s">
        <v>30</v>
      </c>
      <c r="I35" s="24">
        <f>IF('Impôt 2020 revenus 2019'!C5="Invalidité", 1,0)</f>
        <v>1</v>
      </c>
      <c r="O35" s="24">
        <f>1970*(1+O36)</f>
        <v>1989.7</v>
      </c>
      <c r="R35" s="24">
        <f>1208-0.75*1000</f>
        <v>458</v>
      </c>
      <c r="S35" s="24">
        <v>1611</v>
      </c>
    </row>
    <row r="36" spans="2:19" x14ac:dyDescent="0.25">
      <c r="B36" s="24">
        <f>B7*2</f>
        <v>55588</v>
      </c>
      <c r="C36" s="24">
        <f>C7*2</f>
        <v>149034</v>
      </c>
      <c r="D36" s="28">
        <v>0.3</v>
      </c>
      <c r="E36" s="24">
        <f>(C36-B36)*D36</f>
        <v>28033.8</v>
      </c>
      <c r="F36" s="24">
        <f>E34+E36</f>
        <v>32998.199999999997</v>
      </c>
      <c r="H36" s="24" t="s">
        <v>16</v>
      </c>
      <c r="I36" s="24">
        <f>IF('Impôt 2020 revenus 2019'!C5="", (J4-2)*2, (J4-2)*2-1)</f>
        <v>1</v>
      </c>
      <c r="O36" s="24">
        <v>0.01</v>
      </c>
      <c r="S36" s="24">
        <v>2653</v>
      </c>
    </row>
    <row r="37" spans="2:19" x14ac:dyDescent="0.25">
      <c r="B37" s="24">
        <f>B8*2</f>
        <v>149034</v>
      </c>
      <c r="C37" s="24">
        <f>C8*2</f>
        <v>315612</v>
      </c>
      <c r="D37" s="28">
        <v>0.41</v>
      </c>
      <c r="E37" s="24">
        <f>(C37-B37)*D37</f>
        <v>68296.98</v>
      </c>
      <c r="F37" s="24">
        <f>E34+E36+E37</f>
        <v>101295.18</v>
      </c>
      <c r="H37" s="24" t="s">
        <v>10</v>
      </c>
      <c r="I37" s="24">
        <f>I33-A17*I36-I35*A20</f>
        <v>-1913.9199999999996</v>
      </c>
    </row>
    <row r="38" spans="2:19" x14ac:dyDescent="0.25">
      <c r="D38" s="28">
        <v>0.45</v>
      </c>
    </row>
    <row r="39" spans="2:19" x14ac:dyDescent="0.25">
      <c r="H39" s="24" t="s">
        <v>11</v>
      </c>
      <c r="I39" s="24">
        <f>IF(I34&gt;I37, I34, I37)</f>
        <v>1373.1200000000001</v>
      </c>
    </row>
    <row r="40" spans="2:19" x14ac:dyDescent="0.25">
      <c r="H40" s="24" t="s">
        <v>17</v>
      </c>
      <c r="I40" s="24">
        <f>IF(I39&lt;=2653, 2653*0.75-I39*0.75, 0)</f>
        <v>959.90999999999985</v>
      </c>
    </row>
    <row r="41" spans="2:19" x14ac:dyDescent="0.25">
      <c r="H41" s="24" t="s">
        <v>18</v>
      </c>
      <c r="I41" s="24">
        <f>IF(I40&gt;I39, 0, I39-I40)</f>
        <v>413.21000000000026</v>
      </c>
    </row>
  </sheetData>
  <sheetProtection algorithmName="SHA-512" hashValue="/sRwAaMEfO3OSAUGHpbxiIvc2uKobTamO5OlhSiyH3IoUazN+IC0ojNhzygmn2oGZmNdJvzPZwGliLIEJlFbjA==" saltValue="oq0rH0+dXqOiJgi8HYmSrQ==" spinCount="100000" sheet="1" objects="1" scenarios="1"/>
  <mergeCells count="4">
    <mergeCell ref="B3:F3"/>
    <mergeCell ref="B23:F23"/>
    <mergeCell ref="A1:J1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Impôt 2020 revenus 2019</vt:lpstr>
      <vt:lpstr>Corrige ton impôt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Tdiringe</dc:creator>
  <cp:lastModifiedBy>Tdiringe</cp:lastModifiedBy>
  <dcterms:created xsi:type="dcterms:W3CDTF">2016-01-07T14:08:27Z</dcterms:created>
  <dcterms:modified xsi:type="dcterms:W3CDTF">2020-01-09T13:14:28Z</dcterms:modified>
</cp:coreProperties>
</file>