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RINGER\Desktop\Nouveau dossier\Derniers Excels retenus 2018\"/>
    </mc:Choice>
  </mc:AlternateContent>
  <xr:revisionPtr revIDLastSave="0" documentId="8_{FB0E3ADC-EEA2-4952-A9F5-DF7286B02B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in fiscal PER 2022" sheetId="2" r:id="rId1"/>
    <sheet name="Corrige ton impôt" sheetId="1" r:id="rId2"/>
    <sheet name="Corrigetonimpo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3" l="1"/>
  <c r="I21" i="3"/>
  <c r="I40" i="1"/>
  <c r="I21" i="1"/>
  <c r="I17" i="1"/>
  <c r="A20" i="3"/>
  <c r="A18" i="3"/>
  <c r="A19" i="3"/>
  <c r="J3" i="3" l="1"/>
  <c r="O38" i="3"/>
  <c r="C37" i="3"/>
  <c r="B37" i="3"/>
  <c r="C36" i="3"/>
  <c r="B36" i="3"/>
  <c r="R35" i="3"/>
  <c r="O35" i="3"/>
  <c r="I35" i="3"/>
  <c r="O34" i="3"/>
  <c r="C34" i="3"/>
  <c r="B34" i="3"/>
  <c r="C33" i="3"/>
  <c r="B33" i="3"/>
  <c r="O30" i="3"/>
  <c r="D29" i="3"/>
  <c r="D27" i="3"/>
  <c r="D26" i="3"/>
  <c r="E25" i="3"/>
  <c r="D25" i="3"/>
  <c r="I15" i="3"/>
  <c r="I14" i="3"/>
  <c r="I13" i="3"/>
  <c r="D9" i="3"/>
  <c r="E8" i="3"/>
  <c r="E7" i="3"/>
  <c r="D7" i="3"/>
  <c r="D6" i="3"/>
  <c r="E6" i="3" s="1"/>
  <c r="E5" i="3"/>
  <c r="D5" i="3"/>
  <c r="O38" i="1"/>
  <c r="D26" i="1"/>
  <c r="D6" i="1"/>
  <c r="E34" i="3" l="1"/>
  <c r="E36" i="3"/>
  <c r="E37" i="3"/>
  <c r="F8" i="3"/>
  <c r="I10" i="3"/>
  <c r="I33" i="3"/>
  <c r="F7" i="3"/>
  <c r="R35" i="1"/>
  <c r="O35" i="1"/>
  <c r="O34" i="1"/>
  <c r="F36" i="3" l="1"/>
  <c r="F37" i="3"/>
  <c r="I15" i="1"/>
  <c r="I13" i="1"/>
  <c r="J3" i="1"/>
  <c r="I35" i="1"/>
  <c r="C37" i="1" l="1"/>
  <c r="I14" i="1"/>
  <c r="O30" i="1" l="1"/>
  <c r="C11" i="2" s="1"/>
  <c r="C34" i="1"/>
  <c r="C36" i="1"/>
  <c r="B37" i="1"/>
  <c r="E37" i="1" s="1"/>
  <c r="B34" i="1"/>
  <c r="B36" i="1"/>
  <c r="B33" i="1"/>
  <c r="C33" i="1"/>
  <c r="J4" i="1" l="1"/>
  <c r="I36" i="1" s="1"/>
  <c r="J4" i="3"/>
  <c r="I33" i="1"/>
  <c r="E36" i="1"/>
  <c r="E34" i="1"/>
  <c r="B26" i="1" l="1"/>
  <c r="C25" i="1"/>
  <c r="C28" i="1"/>
  <c r="I16" i="1"/>
  <c r="I16" i="3"/>
  <c r="I17" i="3" s="1"/>
  <c r="I36" i="3"/>
  <c r="I37" i="3" s="1"/>
  <c r="C27" i="3"/>
  <c r="B28" i="3"/>
  <c r="C26" i="3"/>
  <c r="C28" i="3"/>
  <c r="C25" i="3"/>
  <c r="B27" i="3"/>
  <c r="B26" i="3"/>
  <c r="I37" i="1"/>
  <c r="F37" i="1"/>
  <c r="F36" i="1"/>
  <c r="C26" i="1"/>
  <c r="C27" i="1"/>
  <c r="B27" i="1"/>
  <c r="B28" i="1"/>
  <c r="D29" i="1"/>
  <c r="D27" i="1"/>
  <c r="E25" i="1"/>
  <c r="D25" i="1"/>
  <c r="E26" i="3" l="1"/>
  <c r="E27" i="3"/>
  <c r="E28" i="3"/>
  <c r="I34" i="3"/>
  <c r="I39" i="3" s="1"/>
  <c r="I11" i="3"/>
  <c r="E27" i="1"/>
  <c r="E28" i="1"/>
  <c r="E26" i="1"/>
  <c r="E8" i="1"/>
  <c r="E7" i="1"/>
  <c r="E5" i="1"/>
  <c r="D9" i="1"/>
  <c r="D7" i="1"/>
  <c r="E6" i="1"/>
  <c r="I10" i="1" s="1"/>
  <c r="D5" i="1"/>
  <c r="F27" i="3" l="1"/>
  <c r="F28" i="3"/>
  <c r="I11" i="1"/>
  <c r="I20" i="1" s="1"/>
  <c r="I20" i="3"/>
  <c r="I34" i="1"/>
  <c r="I39" i="1" s="1"/>
  <c r="F28" i="1"/>
  <c r="F8" i="1"/>
  <c r="F7" i="1"/>
  <c r="F27" i="1"/>
  <c r="I22" i="3" l="1"/>
  <c r="G14" i="2"/>
  <c r="C14" i="2"/>
  <c r="C15" i="2"/>
  <c r="I41" i="1"/>
  <c r="I41" i="3"/>
  <c r="I22" i="1"/>
  <c r="G15" i="2" l="1"/>
  <c r="G16" i="2"/>
  <c r="C16" i="2"/>
  <c r="K16" i="2" l="1"/>
  <c r="J18" i="2" s="1"/>
</calcChain>
</file>

<file path=xl/sharedStrings.xml><?xml version="1.0" encoding="utf-8"?>
<sst xmlns="http://schemas.openxmlformats.org/spreadsheetml/2006/main" count="91" uniqueCount="48">
  <si>
    <t>Plafonnement quotient familial</t>
  </si>
  <si>
    <t>demi-part générale</t>
  </si>
  <si>
    <t>Personnes seules élevé pendant cinq ans</t>
  </si>
  <si>
    <t>part entière premier enfant charge si on élève seul</t>
  </si>
  <si>
    <t>invalidité, combattant</t>
  </si>
  <si>
    <t>maintien quotient conjugal veuf</t>
  </si>
  <si>
    <t>Revenu net imposable</t>
  </si>
  <si>
    <t>nombre de part</t>
  </si>
  <si>
    <t>Ir selon parts</t>
  </si>
  <si>
    <t>Ir une part</t>
  </si>
  <si>
    <t>IR plafonné</t>
  </si>
  <si>
    <t>Impôt retenu</t>
  </si>
  <si>
    <t>CELIBATAIRE DIVORCE VEUF</t>
  </si>
  <si>
    <t>COUPLE PACS</t>
  </si>
  <si>
    <t>Ir deux parts</t>
  </si>
  <si>
    <t>demi-parts au dessus de un</t>
  </si>
  <si>
    <t>demi-parts au dessus de deux</t>
  </si>
  <si>
    <t>Décôte</t>
  </si>
  <si>
    <t>Impôt final</t>
  </si>
  <si>
    <t>Impôt sur le revenu</t>
  </si>
  <si>
    <t>Situation familiale</t>
  </si>
  <si>
    <t>Nombre de parts</t>
  </si>
  <si>
    <t>Impôt avant décôte</t>
  </si>
  <si>
    <t>Célibataire-Divorcé-Veuf</t>
  </si>
  <si>
    <t>TMI 2017 avec parts</t>
  </si>
  <si>
    <t>Marié-Pacsé</t>
  </si>
  <si>
    <t>Nombre d'enfants à charge</t>
  </si>
  <si>
    <t>Situation particulière</t>
  </si>
  <si>
    <t>Case T</t>
  </si>
  <si>
    <t>Case L</t>
  </si>
  <si>
    <t>Handicap</t>
  </si>
  <si>
    <t>Enfant élevé seul (L)</t>
  </si>
  <si>
    <t>Parent isolé (T)</t>
  </si>
  <si>
    <t>Invalidité</t>
  </si>
  <si>
    <t>La case L et la case T ne sont pas possibles si vous êtes mariés/pacsés. Cliquez ici pour lire notre article expliquant si vous pouvez bénéficiez de l'avantage fiscal pour la case T ou la case L si vous vivez seul.</t>
  </si>
  <si>
    <t>Revenu net imposable (RNI)</t>
  </si>
  <si>
    <t>Le revenu imposable est le revenu après avoir enlevé les déductions ("salaires - 10%/frais réels"; "loyers - abattements"; "dividendes - 40%"...). Ce n'est pas le revenu fiscal de référence. Retrouvez le détail du RNI sur cet article.</t>
  </si>
  <si>
    <t>https://www.corrigetonimpot.fr/</t>
  </si>
  <si>
    <t>Remplir les cases bleues uniquement!</t>
  </si>
  <si>
    <t>TMI 2019</t>
  </si>
  <si>
    <t>Investissement PER</t>
  </si>
  <si>
    <t>Impôt avant PER</t>
  </si>
  <si>
    <t>Impôt après PER</t>
  </si>
  <si>
    <t>GAIN FISCAL SI PER</t>
  </si>
  <si>
    <t>Vous allez donc récupérer</t>
  </si>
  <si>
    <t>du montant placé sur votre PER dans un an.</t>
  </si>
  <si>
    <t>Gain fiscal via un placement PER en 2022</t>
  </si>
  <si>
    <t>Montant placé sur le Plan Epargne Retraite individuel en 2022. Il sera déduit lors de la déclaration d'impôt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</si>
</sst>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i/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0"/>
      <color theme="0" tint="-4.9989318521683403E-2"/>
      <name val="Calibri"/>
      <family val="2"/>
      <scheme val="minor"/>
    </font>
    <font>
      <sz val="60"/>
      <color theme="0" tint="-4.9989318521683403E-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u/>
      <sz val="22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0" fillId="3" borderId="0" xfId="0" applyFill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5" fillId="3" borderId="4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left" vertical="center"/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6" fillId="2" borderId="9" xfId="0" applyFont="1" applyFill="1" applyBorder="1" applyAlignment="1" applyProtection="1">
      <alignment horizontal="center" vertical="center"/>
      <protection locked="0" hidden="1"/>
    </xf>
    <xf numFmtId="0" fontId="6" fillId="2" borderId="10" xfId="0" applyFont="1" applyFill="1" applyBorder="1" applyAlignment="1" applyProtection="1">
      <alignment horizontal="center" vertical="center"/>
      <protection locked="0" hidden="1"/>
    </xf>
    <xf numFmtId="0" fontId="14" fillId="3" borderId="0" xfId="2" applyFont="1" applyFill="1" applyBorder="1" applyAlignment="1" applyProtection="1">
      <alignment horizontal="center" vertical="center" wrapText="1"/>
      <protection hidden="1"/>
    </xf>
    <xf numFmtId="0" fontId="14" fillId="3" borderId="5" xfId="2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20" fillId="3" borderId="4" xfId="0" applyFont="1" applyFill="1" applyBorder="1" applyAlignment="1" applyProtection="1">
      <alignment horizontal="left" vertical="center"/>
      <protection hidden="1"/>
    </xf>
    <xf numFmtId="0" fontId="20" fillId="3" borderId="0" xfId="0" applyFont="1" applyFill="1" applyAlignment="1" applyProtection="1">
      <alignment horizontal="left" vertical="center"/>
      <protection hidden="1"/>
    </xf>
    <xf numFmtId="164" fontId="20" fillId="3" borderId="0" xfId="0" applyNumberFormat="1" applyFont="1" applyFill="1" applyAlignment="1" applyProtection="1">
      <alignment horizontal="center" vertical="center"/>
      <protection hidden="1"/>
    </xf>
    <xf numFmtId="0" fontId="21" fillId="3" borderId="0" xfId="0" applyFont="1" applyFill="1" applyProtection="1">
      <protection hidden="1"/>
    </xf>
    <xf numFmtId="0" fontId="22" fillId="2" borderId="9" xfId="0" applyFont="1" applyFill="1" applyBorder="1" applyAlignment="1" applyProtection="1">
      <alignment horizontal="center" vertical="center"/>
      <protection locked="0" hidden="1"/>
    </xf>
    <xf numFmtId="0" fontId="3" fillId="3" borderId="4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17" fillId="4" borderId="0" xfId="0" applyFont="1" applyFill="1" applyProtection="1">
      <protection hidden="1"/>
    </xf>
    <xf numFmtId="9" fontId="17" fillId="4" borderId="0" xfId="1" applyFont="1" applyFill="1" applyProtection="1">
      <protection hidden="1"/>
    </xf>
    <xf numFmtId="1" fontId="17" fillId="4" borderId="0" xfId="0" applyNumberFormat="1" applyFont="1" applyFill="1" applyProtection="1">
      <protection hidden="1"/>
    </xf>
    <xf numFmtId="10" fontId="23" fillId="3" borderId="0" xfId="0" applyNumberFormat="1" applyFont="1" applyFill="1" applyAlignment="1" applyProtection="1">
      <alignment horizontal="center" vertical="center"/>
      <protection hidden="1"/>
    </xf>
    <xf numFmtId="0" fontId="23" fillId="3" borderId="0" xfId="0" applyFont="1" applyFill="1" applyProtection="1">
      <protection hidden="1"/>
    </xf>
    <xf numFmtId="9" fontId="17" fillId="4" borderId="0" xfId="1" applyFont="1" applyFill="1" applyBorder="1" applyProtection="1"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0" fillId="3" borderId="4" xfId="0" applyFont="1" applyFill="1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0" fillId="3" borderId="5" xfId="0" applyFont="1" applyFill="1" applyBorder="1" applyAlignment="1" applyProtection="1">
      <alignment horizontal="center"/>
      <protection hidden="1"/>
    </xf>
    <xf numFmtId="0" fontId="14" fillId="3" borderId="14" xfId="2" applyFont="1" applyFill="1" applyBorder="1" applyAlignment="1" applyProtection="1">
      <alignment horizontal="center" vertical="center" wrapText="1"/>
      <protection hidden="1"/>
    </xf>
    <xf numFmtId="0" fontId="14" fillId="3" borderId="0" xfId="2" applyFont="1" applyFill="1" applyBorder="1" applyAlignment="1" applyProtection="1">
      <alignment horizontal="center" vertical="center" wrapText="1"/>
      <protection hidden="1"/>
    </xf>
    <xf numFmtId="0" fontId="14" fillId="3" borderId="5" xfId="2" applyFont="1" applyFill="1" applyBorder="1" applyAlignment="1" applyProtection="1">
      <alignment horizontal="center" vertical="center" wrapText="1"/>
      <protection hidden="1"/>
    </xf>
    <xf numFmtId="0" fontId="12" fillId="3" borderId="4" xfId="2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4" fillId="3" borderId="13" xfId="0" applyFont="1" applyFill="1" applyBorder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hidden="1"/>
    </xf>
    <xf numFmtId="0" fontId="24" fillId="3" borderId="0" xfId="0" applyFont="1" applyFill="1" applyAlignment="1" applyProtection="1">
      <alignment horizontal="center" vertical="center"/>
      <protection hidden="1"/>
    </xf>
    <xf numFmtId="164" fontId="25" fillId="3" borderId="0" xfId="0" applyNumberFormat="1" applyFont="1" applyFill="1" applyAlignment="1" applyProtection="1">
      <alignment horizontal="center"/>
      <protection hidden="1"/>
    </xf>
    <xf numFmtId="0" fontId="25" fillId="3" borderId="0" xfId="0" applyFont="1" applyFill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6" fillId="4" borderId="1" xfId="0" applyFont="1" applyFill="1" applyBorder="1" applyAlignment="1" applyProtection="1">
      <alignment horizontal="center"/>
      <protection hidden="1"/>
    </xf>
    <xf numFmtId="0" fontId="16" fillId="4" borderId="2" xfId="0" applyFont="1" applyFill="1" applyBorder="1" applyAlignment="1" applyProtection="1">
      <alignment horizontal="center"/>
      <protection hidden="1"/>
    </xf>
    <xf numFmtId="0" fontId="16" fillId="4" borderId="3" xfId="0" applyFont="1" applyFill="1" applyBorder="1" applyAlignment="1" applyProtection="1">
      <alignment horizontal="center"/>
      <protection hidden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rrigetonimpot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18</xdr:col>
      <xdr:colOff>180975</xdr:colOff>
      <xdr:row>37</xdr:row>
      <xdr:rowOff>161925</xdr:rowOff>
    </xdr:to>
    <xdr:pic>
      <xdr:nvPicPr>
        <xdr:cNvPr id="3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625"/>
          <a:ext cx="1631632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rrigetonimpot.fr/2017/02/13/revenu-net-imposable-et-revenu-fiscal-de-reference-attention-au-mauvais-placement-si-vous-ne-faites-pas-la-difference/" TargetMode="External"/><Relationship Id="rId2" Type="http://schemas.openxmlformats.org/officeDocument/2006/relationships/hyperlink" Target="https://www.corrigetonimpot.fr/2017/10/26/impot-personne-seule-vivant-demi-part-parent-isole/" TargetMode="External"/><Relationship Id="rId1" Type="http://schemas.openxmlformats.org/officeDocument/2006/relationships/hyperlink" Target="https://www.corrigetonimpot.f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workbookViewId="0">
      <selection activeCell="A21" sqref="A21"/>
    </sheetView>
  </sheetViews>
  <sheetFormatPr baseColWidth="10" defaultRowHeight="15" x14ac:dyDescent="0.25"/>
  <cols>
    <col min="1" max="1" width="11.42578125" style="1"/>
    <col min="2" max="2" width="22.7109375" style="1" customWidth="1"/>
    <col min="3" max="3" width="29" style="1" customWidth="1"/>
    <col min="4" max="6" width="11.42578125" style="1"/>
    <col min="7" max="7" width="17.42578125" style="1" customWidth="1"/>
    <col min="8" max="8" width="12.85546875" style="1" customWidth="1"/>
    <col min="9" max="9" width="11.42578125" style="1" customWidth="1"/>
    <col min="10" max="16384" width="11.42578125" style="1"/>
  </cols>
  <sheetData>
    <row r="1" spans="1:29" ht="28.5" x14ac:dyDescent="0.45">
      <c r="A1" s="50" t="s">
        <v>46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47" t="s">
        <v>37</v>
      </c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15.75" x14ac:dyDescent="0.25">
      <c r="A2" s="2"/>
      <c r="K2" s="53" t="s">
        <v>38</v>
      </c>
      <c r="L2" s="53"/>
      <c r="M2" s="53"/>
      <c r="N2" s="54"/>
      <c r="O2" s="49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ht="28.5" customHeight="1" x14ac:dyDescent="0.25">
      <c r="A3" s="4" t="s">
        <v>20</v>
      </c>
      <c r="B3" s="5"/>
      <c r="C3" s="18" t="s">
        <v>23</v>
      </c>
      <c r="N3" s="3"/>
      <c r="O3" s="49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ht="28.5" customHeight="1" x14ac:dyDescent="0.25">
      <c r="A4" s="4" t="s">
        <v>26</v>
      </c>
      <c r="B4" s="5"/>
      <c r="C4" s="18">
        <v>1</v>
      </c>
      <c r="N4" s="3"/>
      <c r="O4" s="49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1:29" ht="28.5" customHeight="1" x14ac:dyDescent="0.25">
      <c r="A5" s="4" t="s">
        <v>27</v>
      </c>
      <c r="B5" s="5"/>
      <c r="C5" s="19"/>
      <c r="D5" s="44" t="s">
        <v>34</v>
      </c>
      <c r="E5" s="45"/>
      <c r="F5" s="45"/>
      <c r="G5" s="45"/>
      <c r="H5" s="45"/>
      <c r="I5" s="45"/>
      <c r="J5" s="45"/>
      <c r="K5" s="45"/>
      <c r="L5" s="45"/>
      <c r="M5" s="45"/>
      <c r="N5" s="46"/>
      <c r="O5" s="49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6" spans="1:29" ht="4.5" customHeight="1" x14ac:dyDescent="0.25">
      <c r="A6" s="4"/>
      <c r="B6" s="5"/>
      <c r="C6" s="6"/>
      <c r="N6" s="3"/>
      <c r="O6" s="49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29" ht="28.5" hidden="1" customHeight="1" x14ac:dyDescent="0.25">
      <c r="A7" s="4"/>
      <c r="B7" s="5"/>
      <c r="C7" s="6"/>
      <c r="N7" s="3"/>
      <c r="O7" s="49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</row>
    <row r="8" spans="1:29" ht="28.5" customHeight="1" x14ac:dyDescent="0.25">
      <c r="A8" s="4" t="s">
        <v>35</v>
      </c>
      <c r="B8" s="5"/>
      <c r="C8" s="18">
        <v>35000</v>
      </c>
      <c r="D8" s="44" t="s">
        <v>36</v>
      </c>
      <c r="E8" s="45"/>
      <c r="F8" s="45"/>
      <c r="G8" s="45"/>
      <c r="H8" s="45"/>
      <c r="I8" s="45"/>
      <c r="J8" s="45"/>
      <c r="K8" s="45"/>
      <c r="L8" s="45"/>
      <c r="M8" s="45"/>
      <c r="N8" s="46"/>
      <c r="O8" s="49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</row>
    <row r="9" spans="1:29" ht="28.5" customHeight="1" x14ac:dyDescent="0.25">
      <c r="A9" s="4"/>
      <c r="B9" s="5"/>
      <c r="C9" s="8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49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</row>
    <row r="10" spans="1:29" ht="28.5" customHeight="1" x14ac:dyDescent="0.25">
      <c r="A10" s="23" t="s">
        <v>40</v>
      </c>
      <c r="B10" s="5"/>
      <c r="C10" s="31">
        <v>5000</v>
      </c>
      <c r="D10" s="44" t="s">
        <v>47</v>
      </c>
      <c r="E10" s="45"/>
      <c r="F10" s="45"/>
      <c r="G10" s="45"/>
      <c r="H10" s="45"/>
      <c r="I10" s="45"/>
      <c r="J10" s="45"/>
      <c r="K10" s="45"/>
      <c r="L10" s="45"/>
      <c r="M10" s="45"/>
      <c r="N10" s="46"/>
      <c r="O10" s="49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8.5" customHeight="1" x14ac:dyDescent="0.25">
      <c r="A11" s="32" t="s">
        <v>21</v>
      </c>
      <c r="B11" s="33"/>
      <c r="C11" s="22">
        <f>IF(C5="", 'Corrige ton impôt'!O30, 'Corrige ton impôt'!O30+0.5)</f>
        <v>1.5</v>
      </c>
      <c r="N11" s="3"/>
      <c r="O11" s="49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13.5" customHeight="1" x14ac:dyDescent="0.25">
      <c r="A12" s="9"/>
      <c r="B12" s="10"/>
      <c r="C12" s="11"/>
      <c r="N12" s="3"/>
      <c r="O12" s="49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8.5" customHeight="1" x14ac:dyDescent="0.25">
      <c r="A13" s="7"/>
      <c r="B13" s="5"/>
      <c r="C13" s="26" t="s">
        <v>41</v>
      </c>
      <c r="G13" s="26" t="s">
        <v>42</v>
      </c>
      <c r="N13" s="3"/>
      <c r="O13" s="49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</row>
    <row r="14" spans="1:29" ht="28.5" customHeight="1" x14ac:dyDescent="0.25">
      <c r="A14" s="12" t="s">
        <v>22</v>
      </c>
      <c r="B14" s="13"/>
      <c r="C14" s="14">
        <f>IF(C3="Célibataire-Divorcé-Veuf", 'Corrige ton impôt'!I20, 'Corrige ton impôt'!I39)</f>
        <v>2415.71</v>
      </c>
      <c r="G14" s="8">
        <f>IF(C3="Célibataire-Divorcé-Veuf", Corrigetonimpot!I20, Corrigetonimpot!I39)</f>
        <v>1521.7950000000001</v>
      </c>
      <c r="J14" s="55" t="s">
        <v>43</v>
      </c>
      <c r="K14" s="55"/>
      <c r="L14" s="55"/>
      <c r="M14" s="55"/>
      <c r="N14" s="3"/>
      <c r="O14" s="49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</row>
    <row r="15" spans="1:29" ht="28.5" customHeight="1" x14ac:dyDescent="0.25">
      <c r="A15" s="12" t="s">
        <v>17</v>
      </c>
      <c r="B15" s="13"/>
      <c r="C15" s="14">
        <f>IF(C3="Célibataire-Divorcé-Veuf", 'Corrige ton impôt'!I21, 'Corrige ton impôt'!I40)</f>
        <v>0</v>
      </c>
      <c r="D15" s="24"/>
      <c r="E15" s="24"/>
      <c r="F15" s="24"/>
      <c r="G15" s="22">
        <f>IF(C3="Célibataire-Divorcé-Veuf", Corrigetonimpot!I21, Corrigetonimpot!I40)</f>
        <v>144.38776249999989</v>
      </c>
      <c r="H15" s="24"/>
      <c r="I15" s="24"/>
      <c r="J15" s="24"/>
      <c r="K15" s="24"/>
      <c r="L15" s="24"/>
      <c r="M15" s="24"/>
      <c r="N15" s="25"/>
      <c r="O15" s="49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</row>
    <row r="16" spans="1:29" ht="34.5" customHeight="1" x14ac:dyDescent="0.5">
      <c r="A16" s="27" t="s">
        <v>19</v>
      </c>
      <c r="B16" s="28"/>
      <c r="C16" s="29">
        <f>IF(C3="Célibataire-Divorcé-Veuf", 'Corrige ton impôt'!I22, 'Corrige ton impôt'!I41)</f>
        <v>2415.71</v>
      </c>
      <c r="D16" s="30"/>
      <c r="E16" s="30"/>
      <c r="F16" s="30"/>
      <c r="G16" s="29">
        <f>IF(C3="Célibataire-Divorcé-Veuf", Corrigetonimpot!I22, Corrigetonimpot!I41)</f>
        <v>1377.4072375000001</v>
      </c>
      <c r="H16" s="30"/>
      <c r="K16" s="56">
        <f>C16-G16</f>
        <v>1038.3027625</v>
      </c>
      <c r="L16" s="57"/>
      <c r="N16" s="3"/>
      <c r="O16" s="49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</row>
    <row r="17" spans="1:29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/>
      <c r="O17" s="49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29" x14ac:dyDescent="0.25">
      <c r="A18" s="2"/>
      <c r="H18" s="38" t="s">
        <v>44</v>
      </c>
      <c r="I18" s="38"/>
      <c r="J18" s="37">
        <f>K16/C10</f>
        <v>0.20766055249999998</v>
      </c>
      <c r="K18" s="38" t="s">
        <v>45</v>
      </c>
      <c r="N18" s="3"/>
      <c r="O18" s="49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</row>
    <row r="19" spans="1:29" hidden="1" x14ac:dyDescent="0.25">
      <c r="A19" s="2"/>
      <c r="N19" s="3"/>
      <c r="O19" s="49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15" hidden="1" customHeight="1" x14ac:dyDescent="0.25">
      <c r="A20" s="2"/>
      <c r="N20" s="3"/>
      <c r="O20" s="49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15.75" thickBot="1" x14ac:dyDescent="0.3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49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</sheetData>
  <sheetProtection algorithmName="SHA-512" hashValue="xwoQgz9j+nE6KYYnQ/Mo+iXNeYDo/Frw3j8tqaAPg353RsTNKy5ELwigmFQp+BkGNEjgAcamtnjY1ZWJ8zi6mg==" saltValue="NLjg8pmUbRLxmTk59i7mNQ==" spinCount="100000" sheet="1" objects="1" scenarios="1"/>
  <mergeCells count="9">
    <mergeCell ref="A17:N17"/>
    <mergeCell ref="D5:N5"/>
    <mergeCell ref="D8:N8"/>
    <mergeCell ref="O1:AC21"/>
    <mergeCell ref="A1:N1"/>
    <mergeCell ref="K2:N2"/>
    <mergeCell ref="D10:N10"/>
    <mergeCell ref="J14:M14"/>
    <mergeCell ref="K16:L16"/>
  </mergeCells>
  <dataValidations count="1">
    <dataValidation type="list" allowBlank="1" showInputMessage="1" showErrorMessage="1" sqref="C3" xr:uid="{00000000-0002-0000-0000-000000000000}">
      <formula1>"Célibataire-Divorcé-Veuf,Marié-Pacsé"</formula1>
    </dataValidation>
  </dataValidations>
  <hyperlinks>
    <hyperlink ref="O1" r:id="rId1" xr:uid="{00000000-0004-0000-0000-000000000000}"/>
    <hyperlink ref="D5:N5" r:id="rId2" display="La case L et la case T ne sont pas possibles si vous êtes mariés/pacsés. Cliquez ici pour lire notre article expliquant si vous pouvez bénéficiez de l'avantage fiscal pour la case T ou la case L si vous vivez seul." xr:uid="{00000000-0004-0000-0000-000001000000}"/>
    <hyperlink ref="D8:N8" r:id="rId3" display="Le revenu imposable est le revenu après avoir enlevé les déductions (&quot;salaires - 10%/frais réels&quot;; &quot;loyers - abattements&quot;; &quot;dividendes - 40%&quot;...). Ce n'est pas le revenu fiscal de référence. Retrouvez le détail du RNI sur cet article." xr:uid="{00000000-0004-0000-0000-000002000000}"/>
  </hyperlinks>
  <pageMargins left="0.7" right="0.7" top="0.75" bottom="0.75" header="0.3" footer="0.3"/>
  <pageSetup paperSize="9" orientation="portrait" horizontalDpi="0" verticalDpi="0" r:id="rId4"/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'Corrige ton impôt'!$M$4:$M$8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'Corrige ton impôt'!$O$4:$O$6</xm:f>
          </x14:formula1>
          <xm:sqref>C6</xm:sqref>
        </x14:dataValidation>
        <x14:dataValidation type="list" allowBlank="1" showInputMessage="1" showErrorMessage="1" xr:uid="{00000000-0002-0000-0000-000003000000}">
          <x14:formula1>
            <xm:f>'Corrige ton impôt'!$O$3:$O$6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workbookViewId="0">
      <selection activeCell="E18" sqref="E18"/>
    </sheetView>
  </sheetViews>
  <sheetFormatPr baseColWidth="10" defaultRowHeight="15" x14ac:dyDescent="0.25"/>
  <cols>
    <col min="1" max="6" width="11.42578125" style="34"/>
    <col min="7" max="7" width="5.140625" style="34" customWidth="1"/>
    <col min="8" max="8" width="28.85546875" style="34" customWidth="1"/>
    <col min="9" max="14" width="11.42578125" style="34"/>
    <col min="15" max="15" width="27" style="34" customWidth="1"/>
    <col min="16" max="16384" width="11.42578125" style="34"/>
  </cols>
  <sheetData>
    <row r="1" spans="1:15" ht="15.75" thickBot="1" x14ac:dyDescent="0.3">
      <c r="A1" s="59" t="s">
        <v>12</v>
      </c>
      <c r="B1" s="60"/>
      <c r="C1" s="60"/>
      <c r="D1" s="60"/>
      <c r="E1" s="60"/>
      <c r="F1" s="60"/>
      <c r="G1" s="60"/>
      <c r="H1" s="60"/>
      <c r="I1" s="60"/>
      <c r="J1" s="61"/>
    </row>
    <row r="3" spans="1:15" x14ac:dyDescent="0.25">
      <c r="B3" s="58" t="s">
        <v>39</v>
      </c>
      <c r="C3" s="58"/>
      <c r="D3" s="58"/>
      <c r="E3" s="58"/>
      <c r="F3" s="58"/>
      <c r="H3" s="34" t="s">
        <v>6</v>
      </c>
      <c r="J3" s="34">
        <f>'Gain fiscal PER 2022'!C8</f>
        <v>35000</v>
      </c>
    </row>
    <row r="4" spans="1:15" x14ac:dyDescent="0.25">
      <c r="H4" s="34" t="s">
        <v>7</v>
      </c>
      <c r="J4" s="34">
        <f>'Gain fiscal PER 2022'!C11</f>
        <v>1.5</v>
      </c>
      <c r="M4" s="34">
        <v>0</v>
      </c>
      <c r="O4" s="34" t="s">
        <v>32</v>
      </c>
    </row>
    <row r="5" spans="1:15" x14ac:dyDescent="0.25">
      <c r="B5" s="34">
        <v>0</v>
      </c>
      <c r="C5" s="34">
        <v>10777</v>
      </c>
      <c r="D5" s="35">
        <f>0</f>
        <v>0</v>
      </c>
      <c r="E5" s="34">
        <f>0</f>
        <v>0</v>
      </c>
      <c r="M5" s="34">
        <v>1</v>
      </c>
      <c r="O5" s="34" t="s">
        <v>31</v>
      </c>
    </row>
    <row r="6" spans="1:15" x14ac:dyDescent="0.25">
      <c r="B6" s="34">
        <v>10777</v>
      </c>
      <c r="C6" s="34">
        <v>27478</v>
      </c>
      <c r="D6" s="35">
        <f>0.11</f>
        <v>0.11</v>
      </c>
      <c r="E6" s="36">
        <f>(C6-B6)*D6</f>
        <v>1837.11</v>
      </c>
      <c r="M6" s="34">
        <v>2</v>
      </c>
      <c r="O6" s="34" t="s">
        <v>33</v>
      </c>
    </row>
    <row r="7" spans="1:15" x14ac:dyDescent="0.25">
      <c r="B7" s="34">
        <v>27478</v>
      </c>
      <c r="C7" s="34">
        <v>78570</v>
      </c>
      <c r="D7" s="35">
        <f>0.3</f>
        <v>0.3</v>
      </c>
      <c r="E7" s="34">
        <f>(C7-B7)*0.3</f>
        <v>15327.599999999999</v>
      </c>
      <c r="F7" s="36">
        <f>E7+E6</f>
        <v>17164.71</v>
      </c>
      <c r="M7" s="34">
        <v>3</v>
      </c>
    </row>
    <row r="8" spans="1:15" x14ac:dyDescent="0.25">
      <c r="B8" s="34">
        <v>75870</v>
      </c>
      <c r="C8" s="34">
        <v>168994</v>
      </c>
      <c r="D8" s="35">
        <v>0.41</v>
      </c>
      <c r="E8" s="34">
        <f>(C8-B8)*D8</f>
        <v>38180.839999999997</v>
      </c>
      <c r="F8" s="36">
        <f>SUM(E6:E8)</f>
        <v>55345.549999999996</v>
      </c>
      <c r="M8" s="34">
        <v>4</v>
      </c>
    </row>
    <row r="9" spans="1:15" x14ac:dyDescent="0.25">
      <c r="D9" s="35">
        <f>0.45</f>
        <v>0.45</v>
      </c>
      <c r="M9" s="34">
        <v>5</v>
      </c>
    </row>
    <row r="10" spans="1:15" x14ac:dyDescent="0.25">
      <c r="H10" s="34" t="s">
        <v>9</v>
      </c>
      <c r="I10" s="34">
        <f>IF(J3&gt;=C8, (J3-C8)*D9+E8+E7+E6, IF(J3&gt;=C7, (J3-C7)*D8+E7+E6, IF(J3&gt;=C6, (J3-C6)*D7+E6, IF(J3&gt;=C5, (J3-C5)*D6, 0))))</f>
        <v>4093.71</v>
      </c>
    </row>
    <row r="11" spans="1:15" x14ac:dyDescent="0.25">
      <c r="B11" s="34" t="s">
        <v>0</v>
      </c>
      <c r="H11" s="34" t="s">
        <v>8</v>
      </c>
      <c r="I11" s="34">
        <f>IF(J3&gt;=C28, (J3-C28)*D29+E28+E27+E26, IF(J3&gt;=C27, (J3-C27)*D28+E27+E26, IF(J3&gt;=C26, (J3-C26)*D27+E26, IF(J3&gt;=C25, (J3-C25)*D26, 0))))</f>
        <v>2071.7950000000001</v>
      </c>
    </row>
    <row r="13" spans="1:15" x14ac:dyDescent="0.25">
      <c r="H13" s="34" t="s">
        <v>28</v>
      </c>
      <c r="I13" s="34">
        <f>IF('Gain fiscal PER 2022'!C5="Parent isolé (T)", 1,0)</f>
        <v>0</v>
      </c>
    </row>
    <row r="14" spans="1:15" x14ac:dyDescent="0.25">
      <c r="H14" s="34" t="s">
        <v>29</v>
      </c>
      <c r="I14" s="34">
        <f>IF('Gain fiscal PER 2022'!C5="Enfant élevé seul (L)", 1, 0)</f>
        <v>0</v>
      </c>
    </row>
    <row r="15" spans="1:15" x14ac:dyDescent="0.25">
      <c r="H15" s="34" t="s">
        <v>30</v>
      </c>
      <c r="I15" s="34">
        <f>IF('Gain fiscal PER 2022'!C5="Invalidité", 1,0)</f>
        <v>0</v>
      </c>
    </row>
    <row r="16" spans="1:15" x14ac:dyDescent="0.25">
      <c r="H16" s="34" t="s">
        <v>15</v>
      </c>
      <c r="I16" s="34">
        <f>IF('Gain fiscal PER 2022'!C5="", (J4-1)*2, (J4-1)*2-1)</f>
        <v>1</v>
      </c>
    </row>
    <row r="17" spans="1:17" x14ac:dyDescent="0.25">
      <c r="A17" s="34">
        <v>1678</v>
      </c>
      <c r="B17" s="34" t="s">
        <v>1</v>
      </c>
      <c r="H17" s="34" t="s">
        <v>10</v>
      </c>
      <c r="I17" s="34">
        <f>I10-A17*I16-I13*A19-I14*A18-I15*A20</f>
        <v>2415.71</v>
      </c>
      <c r="O17" s="34" t="s">
        <v>23</v>
      </c>
      <c r="P17" s="34">
        <v>0</v>
      </c>
      <c r="Q17" s="34">
        <v>1</v>
      </c>
    </row>
    <row r="18" spans="1:17" x14ac:dyDescent="0.25">
      <c r="A18" s="34">
        <v>1002</v>
      </c>
      <c r="B18" s="34" t="s">
        <v>2</v>
      </c>
      <c r="P18" s="34">
        <v>1</v>
      </c>
      <c r="Q18" s="34">
        <v>1.5</v>
      </c>
    </row>
    <row r="19" spans="1:17" x14ac:dyDescent="0.25">
      <c r="A19" s="34">
        <v>2281</v>
      </c>
      <c r="B19" s="34" t="s">
        <v>3</v>
      </c>
      <c r="P19" s="34">
        <v>2</v>
      </c>
      <c r="Q19" s="34">
        <v>2</v>
      </c>
    </row>
    <row r="20" spans="1:17" x14ac:dyDescent="0.25">
      <c r="A20" s="34">
        <v>3351</v>
      </c>
      <c r="B20" s="34" t="s">
        <v>4</v>
      </c>
      <c r="H20" s="34" t="s">
        <v>11</v>
      </c>
      <c r="I20" s="34">
        <f>IF(I11&gt;I17, I11, I17)</f>
        <v>2415.71</v>
      </c>
      <c r="P20" s="34">
        <v>3</v>
      </c>
      <c r="Q20" s="34">
        <v>3</v>
      </c>
    </row>
    <row r="21" spans="1:17" x14ac:dyDescent="0.25">
      <c r="B21" s="34" t="s">
        <v>5</v>
      </c>
      <c r="H21" s="34" t="s">
        <v>17</v>
      </c>
      <c r="I21" s="34">
        <f>IF(I20&lt;=1841, (833-I20*0.4525), 0)</f>
        <v>0</v>
      </c>
      <c r="P21" s="34">
        <v>4</v>
      </c>
      <c r="Q21" s="34">
        <v>4</v>
      </c>
    </row>
    <row r="22" spans="1:17" x14ac:dyDescent="0.25">
      <c r="H22" s="34" t="s">
        <v>18</v>
      </c>
      <c r="I22" s="34">
        <f>IF(I21&gt;I20, 0, I20-I21)</f>
        <v>2415.71</v>
      </c>
    </row>
    <row r="23" spans="1:17" x14ac:dyDescent="0.25">
      <c r="B23" s="58" t="s">
        <v>24</v>
      </c>
      <c r="C23" s="58"/>
      <c r="D23" s="58"/>
      <c r="E23" s="58"/>
      <c r="F23" s="58"/>
      <c r="O23" s="34" t="s">
        <v>25</v>
      </c>
      <c r="P23" s="34">
        <v>0</v>
      </c>
      <c r="Q23" s="34">
        <v>2</v>
      </c>
    </row>
    <row r="24" spans="1:17" x14ac:dyDescent="0.25">
      <c r="P24" s="34">
        <v>1</v>
      </c>
      <c r="Q24" s="34">
        <v>2.5</v>
      </c>
    </row>
    <row r="25" spans="1:17" x14ac:dyDescent="0.25">
      <c r="B25" s="34">
        <v>0</v>
      </c>
      <c r="C25" s="34">
        <f>C5*$J$4</f>
        <v>16165.5</v>
      </c>
      <c r="D25" s="35">
        <f>0</f>
        <v>0</v>
      </c>
      <c r="E25" s="34">
        <f>0</f>
        <v>0</v>
      </c>
      <c r="P25" s="34">
        <v>2</v>
      </c>
      <c r="Q25" s="34">
        <v>3</v>
      </c>
    </row>
    <row r="26" spans="1:17" x14ac:dyDescent="0.25">
      <c r="B26" s="34">
        <f>B6*$J$4</f>
        <v>16165.5</v>
      </c>
      <c r="C26" s="34">
        <f>C6*$J$4</f>
        <v>41217</v>
      </c>
      <c r="D26" s="35">
        <f>0.11</f>
        <v>0.11</v>
      </c>
      <c r="E26" s="36">
        <f>(C26-B26)*D26</f>
        <v>2755.665</v>
      </c>
      <c r="P26" s="34">
        <v>3</v>
      </c>
      <c r="Q26" s="34">
        <v>4</v>
      </c>
    </row>
    <row r="27" spans="1:17" x14ac:dyDescent="0.25">
      <c r="B27" s="34">
        <f>B7*$J$4</f>
        <v>41217</v>
      </c>
      <c r="C27" s="34">
        <f>C7*$J$4</f>
        <v>117855</v>
      </c>
      <c r="D27" s="35">
        <f>0.3</f>
        <v>0.3</v>
      </c>
      <c r="E27" s="34">
        <f>(C27-B27)*0.3</f>
        <v>22991.399999999998</v>
      </c>
      <c r="F27" s="36">
        <f>E27+E26</f>
        <v>25747.064999999999</v>
      </c>
      <c r="P27" s="34">
        <v>4</v>
      </c>
      <c r="Q27" s="34">
        <v>5</v>
      </c>
    </row>
    <row r="28" spans="1:17" x14ac:dyDescent="0.25">
      <c r="B28" s="34">
        <f>B8*$J$4</f>
        <v>113805</v>
      </c>
      <c r="C28" s="34">
        <f>C8*$J$4</f>
        <v>253491</v>
      </c>
      <c r="D28" s="35">
        <v>0.41</v>
      </c>
      <c r="E28" s="34">
        <f>(C28-B28)*D28</f>
        <v>57271.259999999995</v>
      </c>
      <c r="F28" s="36">
        <f>SUM(E26:E28)</f>
        <v>83018.324999999997</v>
      </c>
    </row>
    <row r="29" spans="1:17" x14ac:dyDescent="0.25">
      <c r="D29" s="35">
        <f>0.45</f>
        <v>0.45</v>
      </c>
    </row>
    <row r="30" spans="1:17" ht="15.75" thickBot="1" x14ac:dyDescent="0.3">
      <c r="O30" s="34">
        <f>IF('Gain fiscal PER 2022'!C3="Célibataire-Divorcé-Veuf", VLOOKUP('Gain fiscal PER 2022'!C4, 'Corrige ton impôt'!P17:Q21, 2, FALSE), VLOOKUP('Gain fiscal PER 2022'!C4, 'Corrige ton impôt'!P23:Q27, 2, FALSE))</f>
        <v>1.5</v>
      </c>
    </row>
    <row r="31" spans="1:17" ht="15.75" thickBot="1" x14ac:dyDescent="0.3">
      <c r="A31" s="59" t="s">
        <v>13</v>
      </c>
      <c r="B31" s="60"/>
      <c r="C31" s="60"/>
      <c r="D31" s="60"/>
      <c r="E31" s="60"/>
      <c r="F31" s="60"/>
      <c r="G31" s="60"/>
      <c r="H31" s="60"/>
      <c r="I31" s="60"/>
      <c r="J31" s="61"/>
    </row>
    <row r="32" spans="1:17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2:19" x14ac:dyDescent="0.25">
      <c r="B33" s="34">
        <f>B5*2</f>
        <v>0</v>
      </c>
      <c r="C33" s="34">
        <f>C5*2</f>
        <v>21554</v>
      </c>
      <c r="D33" s="35">
        <v>0</v>
      </c>
      <c r="E33" s="34">
        <v>0</v>
      </c>
      <c r="H33" s="34" t="s">
        <v>14</v>
      </c>
      <c r="I33" s="34">
        <f>IF(J3&gt;=C37, (J3-C37)*D38+E37+E36+E34, IF(J3&gt;=C36, (J3-C36)*D37+E36+E34, IF(J3&gt;=C34, (J3-C34)*D36+E34, IF(J3&gt;=C33, (J3-C33)*D34, 0))))</f>
        <v>1479.06</v>
      </c>
    </row>
    <row r="34" spans="2:19" x14ac:dyDescent="0.25">
      <c r="B34" s="34">
        <f t="shared" ref="B34:C34" si="0">B6*2</f>
        <v>21554</v>
      </c>
      <c r="C34" s="34">
        <f t="shared" si="0"/>
        <v>54956</v>
      </c>
      <c r="D34" s="35">
        <v>0.11</v>
      </c>
      <c r="E34" s="34">
        <f>(C34-B34)*D34</f>
        <v>3674.22</v>
      </c>
      <c r="H34" s="34" t="s">
        <v>8</v>
      </c>
      <c r="I34" s="34">
        <f>IF(J3&gt;=C28, (J3-C28)*D29+E28+E27+E26, IF(J3&gt;=C27, (J3-C27)*D28+E27+E26, IF(J3&gt;=C26, (J3-C26)*D27+E26, IF(J3&gt;=C25, (J3-C25)*D26, 0))))</f>
        <v>2071.7950000000001</v>
      </c>
      <c r="O34" s="34">
        <f>1196*1.01</f>
        <v>1207.96</v>
      </c>
    </row>
    <row r="35" spans="2:19" x14ac:dyDescent="0.25">
      <c r="D35" s="35"/>
      <c r="H35" s="34" t="s">
        <v>30</v>
      </c>
      <c r="I35" s="34">
        <f>IF('Gain fiscal PER 2022'!C5="Invalidité", 1,0)</f>
        <v>0</v>
      </c>
      <c r="O35" s="34">
        <f>1970*(1+O36)</f>
        <v>1989.7</v>
      </c>
      <c r="R35" s="34">
        <f>1208-0.75*1000</f>
        <v>458</v>
      </c>
      <c r="S35" s="34">
        <v>1611</v>
      </c>
    </row>
    <row r="36" spans="2:19" x14ac:dyDescent="0.25">
      <c r="B36" s="34">
        <f>B7*2</f>
        <v>54956</v>
      </c>
      <c r="C36" s="34">
        <f>C7*2</f>
        <v>157140</v>
      </c>
      <c r="D36" s="35">
        <v>0.3</v>
      </c>
      <c r="E36" s="34">
        <f>(C36-B36)*D36</f>
        <v>30655.199999999997</v>
      </c>
      <c r="F36" s="34">
        <f>E34+E36</f>
        <v>34329.42</v>
      </c>
      <c r="H36" s="34" t="s">
        <v>16</v>
      </c>
      <c r="I36" s="34">
        <f>IF('Gain fiscal PER 2022'!C5="", (J4-2)*2, (J4-2)*2-1)</f>
        <v>-1</v>
      </c>
      <c r="O36" s="34">
        <v>0.01</v>
      </c>
      <c r="S36" s="34">
        <v>2653</v>
      </c>
    </row>
    <row r="37" spans="2:19" x14ac:dyDescent="0.25">
      <c r="B37" s="34">
        <f>B8*2</f>
        <v>151740</v>
      </c>
      <c r="C37" s="34">
        <f>C8*2</f>
        <v>337988</v>
      </c>
      <c r="D37" s="35">
        <v>0.41</v>
      </c>
      <c r="E37" s="34">
        <f>(C37-B37)*D37</f>
        <v>76361.679999999993</v>
      </c>
      <c r="F37" s="34">
        <f>E34+E36+E37</f>
        <v>110691.09999999999</v>
      </c>
      <c r="H37" s="34" t="s">
        <v>10</v>
      </c>
      <c r="I37" s="34">
        <f>I33-A17*I36-I35*A20</f>
        <v>3157.06</v>
      </c>
    </row>
    <row r="38" spans="2:19" x14ac:dyDescent="0.25">
      <c r="D38" s="35">
        <v>0.45</v>
      </c>
      <c r="O38" s="34">
        <f>1208*3/4</f>
        <v>906</v>
      </c>
    </row>
    <row r="39" spans="2:19" x14ac:dyDescent="0.25">
      <c r="H39" s="34" t="s">
        <v>11</v>
      </c>
      <c r="I39" s="34">
        <f>IF(I34&gt;I37, I34, I37)</f>
        <v>3157.06</v>
      </c>
    </row>
    <row r="40" spans="2:19" x14ac:dyDescent="0.25">
      <c r="H40" s="34" t="s">
        <v>17</v>
      </c>
      <c r="I40" s="34">
        <f>IF(I39&lt;=3045, 1378-I39*0.4525, 0)</f>
        <v>0</v>
      </c>
    </row>
    <row r="41" spans="2:19" x14ac:dyDescent="0.25">
      <c r="H41" s="34" t="s">
        <v>18</v>
      </c>
      <c r="I41" s="34">
        <f>IF(I40&gt;I39, 0, I39-I40)</f>
        <v>3157.06</v>
      </c>
    </row>
  </sheetData>
  <sheetProtection algorithmName="SHA-512" hashValue="xLUS99QB1aQTaVWXs66he5fNlsAfSoQU1Rx6uWCgpB7X6ZLZksjEmf6GSvu4Rs+msktmP6R9iQYLghwQtERc1A==" saltValue="1dHvhWmb6vEvyKvmmGZnjA==" spinCount="100000" sheet="1" objects="1" scenarios="1"/>
  <mergeCells count="4">
    <mergeCell ref="B3:F3"/>
    <mergeCell ref="B23:F23"/>
    <mergeCell ref="A1:J1"/>
    <mergeCell ref="A31:J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1"/>
  <sheetViews>
    <sheetView topLeftCell="A15" workbookViewId="0">
      <selection activeCell="M45" sqref="A1:XFD1048576"/>
    </sheetView>
  </sheetViews>
  <sheetFormatPr baseColWidth="10" defaultRowHeight="15" x14ac:dyDescent="0.25"/>
  <cols>
    <col min="1" max="6" width="11.42578125" style="34"/>
    <col min="7" max="7" width="25" style="34" customWidth="1"/>
    <col min="8" max="8" width="28.85546875" style="34" customWidth="1"/>
    <col min="9" max="14" width="11.42578125" style="34"/>
    <col min="15" max="15" width="27" style="34" customWidth="1"/>
    <col min="16" max="16384" width="11.42578125" style="34"/>
  </cols>
  <sheetData>
    <row r="1" spans="1:15" ht="15.75" thickBot="1" x14ac:dyDescent="0.3">
      <c r="A1" s="59" t="s">
        <v>12</v>
      </c>
      <c r="B1" s="60"/>
      <c r="C1" s="60"/>
      <c r="D1" s="60"/>
      <c r="E1" s="60"/>
      <c r="F1" s="60"/>
      <c r="G1" s="60"/>
      <c r="H1" s="60"/>
      <c r="I1" s="60"/>
      <c r="J1" s="61"/>
    </row>
    <row r="3" spans="1:15" x14ac:dyDescent="0.25">
      <c r="B3" s="58" t="s">
        <v>39</v>
      </c>
      <c r="C3" s="58"/>
      <c r="D3" s="58"/>
      <c r="E3" s="58"/>
      <c r="F3" s="58"/>
      <c r="H3" s="34" t="s">
        <v>6</v>
      </c>
      <c r="J3" s="34">
        <f>'Gain fiscal PER 2022'!C8-'Gain fiscal PER 2022'!C10</f>
        <v>30000</v>
      </c>
    </row>
    <row r="4" spans="1:15" x14ac:dyDescent="0.25">
      <c r="H4" s="34" t="s">
        <v>7</v>
      </c>
      <c r="J4" s="34">
        <f>'Gain fiscal PER 2022'!C11</f>
        <v>1.5</v>
      </c>
      <c r="M4" s="34">
        <v>0</v>
      </c>
      <c r="O4" s="34" t="s">
        <v>32</v>
      </c>
    </row>
    <row r="5" spans="1:15" x14ac:dyDescent="0.25">
      <c r="B5" s="34">
        <v>0</v>
      </c>
      <c r="C5" s="34">
        <v>10777</v>
      </c>
      <c r="D5" s="39">
        <f>0</f>
        <v>0</v>
      </c>
      <c r="E5" s="34">
        <f>0</f>
        <v>0</v>
      </c>
      <c r="M5" s="34">
        <v>1</v>
      </c>
      <c r="O5" s="34" t="s">
        <v>31</v>
      </c>
    </row>
    <row r="6" spans="1:15" x14ac:dyDescent="0.25">
      <c r="B6" s="34">
        <v>10777</v>
      </c>
      <c r="C6" s="34">
        <v>27478</v>
      </c>
      <c r="D6" s="39">
        <f>0.11</f>
        <v>0.11</v>
      </c>
      <c r="E6" s="36">
        <f>(C6-B6)*D6</f>
        <v>1837.11</v>
      </c>
      <c r="M6" s="34">
        <v>2</v>
      </c>
      <c r="O6" s="34" t="s">
        <v>33</v>
      </c>
    </row>
    <row r="7" spans="1:15" x14ac:dyDescent="0.25">
      <c r="B7" s="34">
        <v>27478</v>
      </c>
      <c r="C7" s="34">
        <v>78570</v>
      </c>
      <c r="D7" s="39">
        <f>0.3</f>
        <v>0.3</v>
      </c>
      <c r="E7" s="34">
        <f>(C7-B7)*0.3</f>
        <v>15327.599999999999</v>
      </c>
      <c r="F7" s="36">
        <f>E7+E6</f>
        <v>17164.71</v>
      </c>
      <c r="M7" s="34">
        <v>3</v>
      </c>
    </row>
    <row r="8" spans="1:15" x14ac:dyDescent="0.25">
      <c r="B8" s="34">
        <v>78570</v>
      </c>
      <c r="C8" s="34">
        <v>168994</v>
      </c>
      <c r="D8" s="39">
        <v>0.41</v>
      </c>
      <c r="E8" s="34">
        <f>(C8-B8)*D8</f>
        <v>37073.839999999997</v>
      </c>
      <c r="F8" s="36">
        <f>SUM(E6:E8)</f>
        <v>54238.549999999996</v>
      </c>
      <c r="M8" s="34">
        <v>4</v>
      </c>
    </row>
    <row r="9" spans="1:15" x14ac:dyDescent="0.25">
      <c r="D9" s="39">
        <f>0.45</f>
        <v>0.45</v>
      </c>
      <c r="M9" s="34">
        <v>5</v>
      </c>
    </row>
    <row r="10" spans="1:15" x14ac:dyDescent="0.25">
      <c r="H10" s="34" t="s">
        <v>9</v>
      </c>
      <c r="I10" s="34">
        <f>IF(J3&gt;=C8, (J3-C8)*D9+E8+E7+E6, IF(J3&gt;=C7, (J3-C7)*D8+E7+E6, IF(J3&gt;=C6, (J3-C6)*D7+E6, IF(J3&gt;=C5, (J3-C5)*D6, 0))))</f>
        <v>2593.71</v>
      </c>
    </row>
    <row r="11" spans="1:15" x14ac:dyDescent="0.25">
      <c r="B11" s="34" t="s">
        <v>0</v>
      </c>
      <c r="H11" s="34" t="s">
        <v>8</v>
      </c>
      <c r="I11" s="34">
        <f>IF(J3&gt;=C28, (J3-C28)*D29+E28+E27+E26, IF(J3&gt;=C27, (J3-C27)*D28+E27+E26, IF(J3&gt;=C26, (J3-C26)*D27+E26, IF(J3&gt;=C25, (J3-C25)*D26, 0))))</f>
        <v>1521.7950000000001</v>
      </c>
    </row>
    <row r="13" spans="1:15" x14ac:dyDescent="0.25">
      <c r="H13" s="34" t="s">
        <v>28</v>
      </c>
      <c r="I13" s="34">
        <f>IF('Gain fiscal PER 2022'!C5="Parent isolé (T)", 1,0)</f>
        <v>0</v>
      </c>
    </row>
    <row r="14" spans="1:15" x14ac:dyDescent="0.25">
      <c r="H14" s="34" t="s">
        <v>29</v>
      </c>
      <c r="I14" s="34">
        <f>IF('Gain fiscal PER 2022'!C5="Enfant élevé seul (L)", 1, 0)</f>
        <v>0</v>
      </c>
    </row>
    <row r="15" spans="1:15" x14ac:dyDescent="0.25">
      <c r="H15" s="34" t="s">
        <v>30</v>
      </c>
      <c r="I15" s="34">
        <f>IF('Gain fiscal PER 2022'!C5="Invalidité", 1,0)</f>
        <v>0</v>
      </c>
    </row>
    <row r="16" spans="1:15" x14ac:dyDescent="0.25">
      <c r="H16" s="34" t="s">
        <v>15</v>
      </c>
      <c r="I16" s="34">
        <f>IF('Gain fiscal PER 2022'!C5="", (J4-1)*2, (J4-1)*2-1)</f>
        <v>1</v>
      </c>
    </row>
    <row r="17" spans="1:17" x14ac:dyDescent="0.25">
      <c r="A17" s="34">
        <v>1678</v>
      </c>
      <c r="B17" s="34" t="s">
        <v>1</v>
      </c>
      <c r="H17" s="34" t="s">
        <v>10</v>
      </c>
      <c r="I17" s="34">
        <f>I10-A17*I16-I13*A19-I14*A18-I15*A20</f>
        <v>915.71</v>
      </c>
      <c r="O17" s="34" t="s">
        <v>23</v>
      </c>
      <c r="P17" s="34">
        <v>0</v>
      </c>
      <c r="Q17" s="34">
        <v>1</v>
      </c>
    </row>
    <row r="18" spans="1:17" x14ac:dyDescent="0.25">
      <c r="A18" s="34">
        <f>'Corrige ton impôt'!A18</f>
        <v>1002</v>
      </c>
      <c r="B18" s="34" t="s">
        <v>2</v>
      </c>
      <c r="P18" s="34">
        <v>1</v>
      </c>
      <c r="Q18" s="34">
        <v>1.5</v>
      </c>
    </row>
    <row r="19" spans="1:17" x14ac:dyDescent="0.25">
      <c r="A19" s="34">
        <f>'Corrige ton impôt'!A19</f>
        <v>2281</v>
      </c>
      <c r="B19" s="34" t="s">
        <v>3</v>
      </c>
      <c r="P19" s="34">
        <v>2</v>
      </c>
      <c r="Q19" s="34">
        <v>2</v>
      </c>
    </row>
    <row r="20" spans="1:17" x14ac:dyDescent="0.25">
      <c r="A20" s="34">
        <f>'Corrige ton impôt'!A20</f>
        <v>3351</v>
      </c>
      <c r="B20" s="34" t="s">
        <v>4</v>
      </c>
      <c r="H20" s="34" t="s">
        <v>11</v>
      </c>
      <c r="I20" s="34">
        <f>IF(I11&gt;I17, I11, I17)</f>
        <v>1521.7950000000001</v>
      </c>
      <c r="P20" s="34">
        <v>3</v>
      </c>
      <c r="Q20" s="34">
        <v>3</v>
      </c>
    </row>
    <row r="21" spans="1:17" x14ac:dyDescent="0.25">
      <c r="B21" s="34" t="s">
        <v>5</v>
      </c>
      <c r="H21" s="34" t="s">
        <v>17</v>
      </c>
      <c r="I21" s="34">
        <f>IF(I20&lt;=1841, (833-I20*0.4525), 0)</f>
        <v>144.38776249999989</v>
      </c>
      <c r="P21" s="34">
        <v>4</v>
      </c>
      <c r="Q21" s="34">
        <v>4</v>
      </c>
    </row>
    <row r="22" spans="1:17" x14ac:dyDescent="0.25">
      <c r="H22" s="34" t="s">
        <v>18</v>
      </c>
      <c r="I22" s="34">
        <f>IF(I21&gt;I20, 0, I20-I21)</f>
        <v>1377.4072375000001</v>
      </c>
    </row>
    <row r="23" spans="1:17" x14ac:dyDescent="0.25">
      <c r="B23" s="58" t="s">
        <v>24</v>
      </c>
      <c r="C23" s="58"/>
      <c r="D23" s="58"/>
      <c r="E23" s="58"/>
      <c r="F23" s="58"/>
      <c r="O23" s="34" t="s">
        <v>25</v>
      </c>
      <c r="P23" s="34">
        <v>0</v>
      </c>
      <c r="Q23" s="34">
        <v>2</v>
      </c>
    </row>
    <row r="24" spans="1:17" x14ac:dyDescent="0.25">
      <c r="P24" s="34">
        <v>1</v>
      </c>
      <c r="Q24" s="34">
        <v>2.5</v>
      </c>
    </row>
    <row r="25" spans="1:17" x14ac:dyDescent="0.25">
      <c r="B25" s="34">
        <v>0</v>
      </c>
      <c r="C25" s="34">
        <f>C5*$J$4</f>
        <v>16165.5</v>
      </c>
      <c r="D25" s="39">
        <f>0</f>
        <v>0</v>
      </c>
      <c r="E25" s="34">
        <f>0</f>
        <v>0</v>
      </c>
      <c r="P25" s="34">
        <v>2</v>
      </c>
      <c r="Q25" s="34">
        <v>3</v>
      </c>
    </row>
    <row r="26" spans="1:17" x14ac:dyDescent="0.25">
      <c r="B26" s="34">
        <f>B6*$J$4</f>
        <v>16165.5</v>
      </c>
      <c r="C26" s="34">
        <f>C6*$J$4</f>
        <v>41217</v>
      </c>
      <c r="D26" s="39">
        <f>0.11</f>
        <v>0.11</v>
      </c>
      <c r="E26" s="36">
        <f>(C26-B26)*D26</f>
        <v>2755.665</v>
      </c>
      <c r="P26" s="34">
        <v>3</v>
      </c>
      <c r="Q26" s="34">
        <v>4</v>
      </c>
    </row>
    <row r="27" spans="1:17" x14ac:dyDescent="0.25">
      <c r="B27" s="34">
        <f>B7*$J$4</f>
        <v>41217</v>
      </c>
      <c r="C27" s="34">
        <f>C7*$J$4</f>
        <v>117855</v>
      </c>
      <c r="D27" s="39">
        <f>0.3</f>
        <v>0.3</v>
      </c>
      <c r="E27" s="34">
        <f>(C27-B27)*0.3</f>
        <v>22991.399999999998</v>
      </c>
      <c r="F27" s="36">
        <f>E27+E26</f>
        <v>25747.064999999999</v>
      </c>
      <c r="P27" s="34">
        <v>4</v>
      </c>
      <c r="Q27" s="34">
        <v>5</v>
      </c>
    </row>
    <row r="28" spans="1:17" x14ac:dyDescent="0.25">
      <c r="B28" s="34">
        <f>B8*$J$4</f>
        <v>117855</v>
      </c>
      <c r="C28" s="34">
        <f>C8*$J$4</f>
        <v>253491</v>
      </c>
      <c r="D28" s="39">
        <v>0.41</v>
      </c>
      <c r="E28" s="34">
        <f>(C28-B28)*D28</f>
        <v>55610.759999999995</v>
      </c>
      <c r="F28" s="36">
        <f>SUM(E26:E28)</f>
        <v>81357.824999999997</v>
      </c>
    </row>
    <row r="29" spans="1:17" x14ac:dyDescent="0.25">
      <c r="D29" s="39">
        <f>0.45</f>
        <v>0.45</v>
      </c>
    </row>
    <row r="30" spans="1:17" ht="15.75" thickBot="1" x14ac:dyDescent="0.3">
      <c r="O30" s="34">
        <f>IF('Gain fiscal PER 2022'!C3="Célibataire-Divorcé-Veuf", VLOOKUP('Gain fiscal PER 2022'!C4, Corrigetonimpot!P17:Q21, 2, FALSE), VLOOKUP('Gain fiscal PER 2022'!C4, Corrigetonimpot!P23:Q27, 2, FALSE))</f>
        <v>1.5</v>
      </c>
    </row>
    <row r="31" spans="1:17" ht="15.75" thickBot="1" x14ac:dyDescent="0.3">
      <c r="A31" s="59" t="s">
        <v>13</v>
      </c>
      <c r="B31" s="60"/>
      <c r="C31" s="60"/>
      <c r="D31" s="60"/>
      <c r="E31" s="60"/>
      <c r="F31" s="60"/>
      <c r="G31" s="60"/>
      <c r="H31" s="60"/>
      <c r="I31" s="60"/>
      <c r="J31" s="61"/>
    </row>
    <row r="32" spans="1:17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2:19" x14ac:dyDescent="0.25">
      <c r="B33" s="34">
        <f>B5*2</f>
        <v>0</v>
      </c>
      <c r="C33" s="34">
        <f>C5*2</f>
        <v>21554</v>
      </c>
      <c r="D33" s="39">
        <v>0</v>
      </c>
      <c r="E33" s="34">
        <v>0</v>
      </c>
      <c r="H33" s="34" t="s">
        <v>14</v>
      </c>
      <c r="I33" s="34">
        <f>IF(J3&gt;=C37, (J3-C37)*D38+E37+E36+E34, IF(J3&gt;=C36, (J3-C36)*D37+E36+E34, IF(J3&gt;=C34, (J3-C34)*D36+E34, IF(J3&gt;=C33, (J3-C33)*D34, 0))))</f>
        <v>929.06000000000006</v>
      </c>
    </row>
    <row r="34" spans="2:19" x14ac:dyDescent="0.25">
      <c r="B34" s="34">
        <f t="shared" ref="B34:C34" si="0">B6*2</f>
        <v>21554</v>
      </c>
      <c r="C34" s="34">
        <f t="shared" si="0"/>
        <v>54956</v>
      </c>
      <c r="D34" s="39">
        <v>0.11</v>
      </c>
      <c r="E34" s="34">
        <f>(C34-B34)*D34</f>
        <v>3674.22</v>
      </c>
      <c r="H34" s="34" t="s">
        <v>8</v>
      </c>
      <c r="I34" s="34">
        <f>IF(J3&gt;=C28, (J3-C28)*D29+E28+E27+E26, IF(J3&gt;=C27, (J3-C27)*D28+E27+E26, IF(J3&gt;=C26, (J3-C26)*D27+E26, IF(J3&gt;=C25, (J3-C25)*D26, 0))))</f>
        <v>1521.7950000000001</v>
      </c>
      <c r="O34" s="34">
        <f>1196*1.01</f>
        <v>1207.96</v>
      </c>
    </row>
    <row r="35" spans="2:19" x14ac:dyDescent="0.25">
      <c r="D35" s="39"/>
      <c r="H35" s="34" t="s">
        <v>30</v>
      </c>
      <c r="I35" s="34">
        <f>IF('Gain fiscal PER 2022'!C5="Invalidité", 1,0)</f>
        <v>0</v>
      </c>
      <c r="O35" s="34">
        <f>1970*(1+O36)</f>
        <v>1989.7</v>
      </c>
      <c r="R35" s="34">
        <f>1208-0.75*1000</f>
        <v>458</v>
      </c>
      <c r="S35" s="34">
        <v>1611</v>
      </c>
    </row>
    <row r="36" spans="2:19" x14ac:dyDescent="0.25">
      <c r="B36" s="34">
        <f>B7*2</f>
        <v>54956</v>
      </c>
      <c r="C36" s="34">
        <f>C7*2</f>
        <v>157140</v>
      </c>
      <c r="D36" s="39">
        <v>0.3</v>
      </c>
      <c r="E36" s="34">
        <f>(C36-B36)*D36</f>
        <v>30655.199999999997</v>
      </c>
      <c r="F36" s="34">
        <f>E34+E36</f>
        <v>34329.42</v>
      </c>
      <c r="H36" s="34" t="s">
        <v>16</v>
      </c>
      <c r="I36" s="34">
        <f>IF('Gain fiscal PER 2022'!C5="", (J4-2)*2, (J4-2)*2-1)</f>
        <v>-1</v>
      </c>
      <c r="O36" s="34">
        <v>0.01</v>
      </c>
      <c r="S36" s="34">
        <v>2653</v>
      </c>
    </row>
    <row r="37" spans="2:19" x14ac:dyDescent="0.25">
      <c r="B37" s="34">
        <f>B8*2</f>
        <v>157140</v>
      </c>
      <c r="C37" s="34">
        <f>C8*2</f>
        <v>337988</v>
      </c>
      <c r="D37" s="39">
        <v>0.41</v>
      </c>
      <c r="E37" s="34">
        <f>(C37-B37)*D37</f>
        <v>74147.679999999993</v>
      </c>
      <c r="F37" s="34">
        <f>E34+E36+E37</f>
        <v>108477.09999999999</v>
      </c>
      <c r="H37" s="34" t="s">
        <v>10</v>
      </c>
      <c r="I37" s="34">
        <f>I33-A17*I36-I35*A20</f>
        <v>2607.06</v>
      </c>
    </row>
    <row r="38" spans="2:19" x14ac:dyDescent="0.25">
      <c r="D38" s="39">
        <v>0.45</v>
      </c>
      <c r="O38" s="34">
        <f>1208*3/4</f>
        <v>906</v>
      </c>
    </row>
    <row r="39" spans="2:19" x14ac:dyDescent="0.25">
      <c r="H39" s="34" t="s">
        <v>11</v>
      </c>
      <c r="I39" s="34">
        <f>IF(I34&gt;I37, I34, I37)</f>
        <v>2607.06</v>
      </c>
    </row>
    <row r="40" spans="2:19" x14ac:dyDescent="0.25">
      <c r="H40" s="34" t="s">
        <v>17</v>
      </c>
      <c r="I40" s="34">
        <f>IF(I39&lt;=3045, 1378-I39*0.4525, 0)</f>
        <v>198.30535000000009</v>
      </c>
    </row>
    <row r="41" spans="2:19" x14ac:dyDescent="0.25">
      <c r="H41" s="34" t="s">
        <v>18</v>
      </c>
      <c r="I41" s="34">
        <f>IF(I40&gt;I39, 0, I39-I40)</f>
        <v>2408.7546499999999</v>
      </c>
    </row>
  </sheetData>
  <sheetProtection algorithmName="SHA-512" hashValue="edU/gZ01ThngREnqgiVUlJF1bG0slc5EBaI2VDfdMslmn/twsFnR1M94ygsAlWIGrv8pJ/iTWwgAIZRMSVW8Lg==" saltValue="P7pYJTk8jEZt9LNmpAX4Qg==" spinCount="100000" sheet="1" objects="1" scenarios="1"/>
  <mergeCells count="4">
    <mergeCell ref="A1:J1"/>
    <mergeCell ref="B3:F3"/>
    <mergeCell ref="B23:F23"/>
    <mergeCell ref="A31:J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Gain fiscal PER 2022</vt:lpstr>
      <vt:lpstr>Corrige ton impôt</vt:lpstr>
      <vt:lpstr>Corrigetonimpot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Tdiringe</dc:creator>
  <cp:lastModifiedBy>DIRINGER</cp:lastModifiedBy>
  <dcterms:created xsi:type="dcterms:W3CDTF">2016-01-07T14:08:27Z</dcterms:created>
  <dcterms:modified xsi:type="dcterms:W3CDTF">2022-10-09T20:17:52Z</dcterms:modified>
</cp:coreProperties>
</file>