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DIRINGER\Desktop\Lorcana chapitre 2\"/>
    </mc:Choice>
  </mc:AlternateContent>
  <xr:revisionPtr revIDLastSave="0" documentId="13_ncr:1_{4DB471F8-940C-4264-98D0-69C6EDD1EE43}" xr6:coauthVersionLast="47" xr6:coauthVersionMax="47" xr10:uidLastSave="{00000000-0000-0000-0000-000000000000}"/>
  <bookViews>
    <workbookView xWindow="-120" yWindow="-120" windowWidth="29040" windowHeight="15720" xr2:uid="{00000000-000D-0000-FFFF-FFFF00000000}"/>
  </bookViews>
  <sheets>
    <sheet name="Investissement locatif" sheetId="2" r:id="rId1"/>
    <sheet name="Prêt bien immobilier" sheetId="7" r:id="rId2"/>
    <sheet name="Plus-value immobilière" sheetId="10" r:id="rId3"/>
    <sheet name="www.corrigetonimpot" sheetId="1" r:id="rId4"/>
    <sheet name="www.corrigetonimpot (2)" sheetId="12" r:id="rId5"/>
    <sheet name="wwww.corrigetonimpot.Fr"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2" l="1"/>
  <c r="K50" i="1"/>
  <c r="K51" i="1"/>
  <c r="K52" i="1"/>
  <c r="K53" i="1"/>
  <c r="K54" i="1"/>
  <c r="K55" i="1"/>
  <c r="K56" i="1"/>
  <c r="K49" i="1"/>
  <c r="C8" i="2"/>
  <c r="F28" i="2" s="1"/>
  <c r="F30" i="2" s="1"/>
  <c r="F32" i="2" s="1"/>
  <c r="B34" i="1"/>
  <c r="B36" i="1"/>
  <c r="C33" i="1"/>
  <c r="C37" i="12"/>
  <c r="N33" i="12"/>
  <c r="C36" i="12"/>
  <c r="B37" i="12"/>
  <c r="C34" i="12"/>
  <c r="B36" i="12"/>
  <c r="C33" i="12"/>
  <c r="C37" i="1"/>
  <c r="C36" i="1"/>
  <c r="B37" i="1"/>
  <c r="C34" i="1"/>
  <c r="J3" i="12"/>
  <c r="K3" i="12"/>
  <c r="L3" i="12"/>
  <c r="M3" i="12"/>
  <c r="N3" i="12"/>
  <c r="O3" i="12"/>
  <c r="P3" i="12"/>
  <c r="Q3" i="12"/>
  <c r="R3" i="12"/>
  <c r="S3" i="12"/>
  <c r="T3" i="12"/>
  <c r="U3" i="12"/>
  <c r="V3" i="12"/>
  <c r="W3" i="12"/>
  <c r="I3" i="12"/>
  <c r="H43" i="12"/>
  <c r="I35" i="12"/>
  <c r="B33" i="12"/>
  <c r="D29" i="12"/>
  <c r="D27" i="12"/>
  <c r="E25" i="12"/>
  <c r="D25" i="12"/>
  <c r="I15" i="12"/>
  <c r="I14" i="12"/>
  <c r="I13" i="12"/>
  <c r="D9" i="12"/>
  <c r="E8" i="12"/>
  <c r="E7" i="12"/>
  <c r="D7" i="12"/>
  <c r="E6" i="12"/>
  <c r="J10" i="12"/>
  <c r="E5" i="12"/>
  <c r="D5" i="12"/>
  <c r="I15" i="1"/>
  <c r="I35" i="1"/>
  <c r="I13" i="1"/>
  <c r="I14" i="1"/>
  <c r="H43" i="1"/>
  <c r="C6" i="2"/>
  <c r="R8" i="2"/>
  <c r="W20" i="9"/>
  <c r="W21" i="9"/>
  <c r="W22" i="9"/>
  <c r="W23" i="9"/>
  <c r="W24" i="9"/>
  <c r="W25" i="9"/>
  <c r="W26" i="9"/>
  <c r="W27" i="9"/>
  <c r="W28" i="9"/>
  <c r="W29" i="9"/>
  <c r="W30" i="9"/>
  <c r="W31" i="9"/>
  <c r="W32" i="9"/>
  <c r="W33" i="9"/>
  <c r="W19" i="9"/>
  <c r="V3" i="9"/>
  <c r="T3" i="9"/>
  <c r="R4" i="9"/>
  <c r="V4" i="9"/>
  <c r="P33" i="9"/>
  <c r="O3" i="9"/>
  <c r="O4" i="9"/>
  <c r="O5" i="9"/>
  <c r="O6" i="9"/>
  <c r="O7" i="9"/>
  <c r="O8" i="9"/>
  <c r="O9" i="9"/>
  <c r="O10" i="9"/>
  <c r="O11" i="9"/>
  <c r="O12" i="9"/>
  <c r="O13" i="9"/>
  <c r="O14" i="9"/>
  <c r="O15" i="9"/>
  <c r="O16" i="9"/>
  <c r="O17" i="9"/>
  <c r="O18" i="9"/>
  <c r="F48" i="2"/>
  <c r="F47" i="2"/>
  <c r="U3" i="9"/>
  <c r="Q28" i="2"/>
  <c r="R28" i="2"/>
  <c r="P28" i="2"/>
  <c r="D4" i="7"/>
  <c r="E38" i="2"/>
  <c r="F38" i="2"/>
  <c r="G38" i="2"/>
  <c r="H38" i="2"/>
  <c r="I38" i="2"/>
  <c r="J38" i="2"/>
  <c r="K38" i="2"/>
  <c r="L38" i="2"/>
  <c r="M38" i="2"/>
  <c r="N38" i="2"/>
  <c r="O38" i="2"/>
  <c r="P38" i="2"/>
  <c r="Q38" i="2"/>
  <c r="R38" i="2"/>
  <c r="D38" i="2"/>
  <c r="E37" i="2"/>
  <c r="F37" i="2"/>
  <c r="G37" i="2"/>
  <c r="H37" i="2"/>
  <c r="I37" i="2"/>
  <c r="J37" i="2"/>
  <c r="K37" i="2"/>
  <c r="L37" i="2"/>
  <c r="M37" i="2"/>
  <c r="N37" i="2"/>
  <c r="O37" i="2"/>
  <c r="P37" i="2"/>
  <c r="Q37" i="2"/>
  <c r="R37" i="2"/>
  <c r="C18" i="10"/>
  <c r="C19" i="10"/>
  <c r="C14" i="10"/>
  <c r="C10" i="10"/>
  <c r="D6" i="7"/>
  <c r="D3" i="7"/>
  <c r="L6" i="7"/>
  <c r="D2" i="7"/>
  <c r="D10" i="7"/>
  <c r="D11" i="7"/>
  <c r="B33" i="1"/>
  <c r="B10" i="9"/>
  <c r="B11" i="9"/>
  <c r="B12" i="9"/>
  <c r="B13" i="9"/>
  <c r="B14" i="9"/>
  <c r="B15" i="9"/>
  <c r="B16" i="9"/>
  <c r="B17" i="9"/>
  <c r="B18" i="9"/>
  <c r="L10" i="9"/>
  <c r="L11" i="9"/>
  <c r="L12" i="9"/>
  <c r="L13" i="9"/>
  <c r="L14" i="9"/>
  <c r="L15" i="9"/>
  <c r="L16" i="9"/>
  <c r="L17" i="9"/>
  <c r="L18" i="9"/>
  <c r="A34" i="9"/>
  <c r="A35" i="9"/>
  <c r="A36" i="9"/>
  <c r="A37" i="9"/>
  <c r="A38" i="9"/>
  <c r="A39" i="9"/>
  <c r="A40" i="9"/>
  <c r="A41" i="9"/>
  <c r="A42" i="9"/>
  <c r="A43" i="9"/>
  <c r="A44" i="9"/>
  <c r="A45" i="9"/>
  <c r="A46" i="9"/>
  <c r="A47" i="9"/>
  <c r="K34" i="9"/>
  <c r="K35" i="9"/>
  <c r="K36" i="9"/>
  <c r="K37" i="9"/>
  <c r="K38" i="9"/>
  <c r="K39" i="9"/>
  <c r="K40" i="9"/>
  <c r="K41" i="9"/>
  <c r="K42" i="9"/>
  <c r="K43" i="9"/>
  <c r="K44" i="9"/>
  <c r="E21" i="2"/>
  <c r="H21" i="2"/>
  <c r="I21" i="2"/>
  <c r="L21" i="2"/>
  <c r="M21" i="2"/>
  <c r="P21" i="2"/>
  <c r="Q21" i="2"/>
  <c r="F21" i="2"/>
  <c r="G21" i="2"/>
  <c r="J21" i="2"/>
  <c r="K21" i="2"/>
  <c r="N21" i="2"/>
  <c r="O21" i="2"/>
  <c r="R21" i="2"/>
  <c r="D21" i="2"/>
  <c r="E13" i="2"/>
  <c r="F13" i="2"/>
  <c r="G13" i="2"/>
  <c r="H13" i="2"/>
  <c r="I13" i="2"/>
  <c r="J13" i="2"/>
  <c r="K13" i="2"/>
  <c r="L13" i="2"/>
  <c r="M13" i="2"/>
  <c r="N13" i="2"/>
  <c r="O13" i="2"/>
  <c r="P13" i="2"/>
  <c r="Q13" i="2"/>
  <c r="R13" i="2"/>
  <c r="C10" i="7"/>
  <c r="R5" i="7"/>
  <c r="R4" i="7"/>
  <c r="F2" i="7"/>
  <c r="R3" i="7"/>
  <c r="D29" i="1"/>
  <c r="D27" i="1"/>
  <c r="E25" i="1"/>
  <c r="D25" i="1"/>
  <c r="E8" i="1"/>
  <c r="E7" i="1"/>
  <c r="E5" i="1"/>
  <c r="D9" i="1"/>
  <c r="D7" i="1"/>
  <c r="E6" i="1"/>
  <c r="D5" i="1"/>
  <c r="O19" i="9"/>
  <c r="O20" i="9"/>
  <c r="O21" i="9"/>
  <c r="O22" i="9"/>
  <c r="O23" i="9"/>
  <c r="O24" i="9"/>
  <c r="O25" i="9"/>
  <c r="O26" i="9"/>
  <c r="O27" i="9"/>
  <c r="O28" i="9"/>
  <c r="O29" i="9"/>
  <c r="O30" i="9"/>
  <c r="O31" i="9"/>
  <c r="O32" i="9"/>
  <c r="O33" i="9"/>
  <c r="L2" i="7"/>
  <c r="L3" i="7"/>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L19" i="9"/>
  <c r="L20" i="9"/>
  <c r="L21" i="9"/>
  <c r="L22" i="9"/>
  <c r="L23" i="9"/>
  <c r="L24" i="9"/>
  <c r="L25" i="9"/>
  <c r="L26" i="9"/>
  <c r="L27" i="9"/>
  <c r="L28" i="9"/>
  <c r="L29" i="9"/>
  <c r="L30" i="9"/>
  <c r="L31" i="9"/>
  <c r="L32" i="9"/>
  <c r="L33" i="9"/>
  <c r="L34" i="9"/>
  <c r="L35" i="9"/>
  <c r="L36" i="9"/>
  <c r="L37" i="9"/>
  <c r="L38" i="9"/>
  <c r="L39" i="9"/>
  <c r="L40" i="9"/>
  <c r="L41" i="9"/>
  <c r="L42" i="9"/>
  <c r="L43" i="9"/>
  <c r="L44" i="9"/>
  <c r="R5" i="9"/>
  <c r="B11" i="7"/>
  <c r="L4" i="7"/>
  <c r="H2" i="7"/>
  <c r="L5" i="7"/>
  <c r="R6" i="9"/>
  <c r="V5" i="9"/>
  <c r="C11" i="7"/>
  <c r="B12" i="7"/>
  <c r="V6" i="9"/>
  <c r="R7" i="9"/>
  <c r="B13" i="7"/>
  <c r="C12" i="7"/>
  <c r="V7" i="9"/>
  <c r="R8" i="9"/>
  <c r="B14" i="7"/>
  <c r="C13" i="7"/>
  <c r="R9" i="9"/>
  <c r="U8" i="9"/>
  <c r="V8" i="9"/>
  <c r="R10" i="9"/>
  <c r="V9" i="9"/>
  <c r="C14" i="7"/>
  <c r="B15" i="7"/>
  <c r="R11" i="9"/>
  <c r="V10" i="9"/>
  <c r="C15" i="7"/>
  <c r="B16" i="7"/>
  <c r="R12" i="9"/>
  <c r="U11" i="9"/>
  <c r="V11" i="9"/>
  <c r="C16" i="7"/>
  <c r="B17" i="7"/>
  <c r="R13" i="9"/>
  <c r="V12" i="9"/>
  <c r="C17" i="7"/>
  <c r="B18" i="7"/>
  <c r="C18" i="7"/>
  <c r="B19" i="7"/>
  <c r="R14" i="9"/>
  <c r="V13" i="9"/>
  <c r="R15" i="9"/>
  <c r="V14" i="9"/>
  <c r="B20" i="7"/>
  <c r="C19" i="7"/>
  <c r="C20" i="7"/>
  <c r="B21" i="7"/>
  <c r="R16" i="9"/>
  <c r="V15" i="9"/>
  <c r="R17" i="9"/>
  <c r="V16" i="9"/>
  <c r="C21" i="7"/>
  <c r="B22" i="7"/>
  <c r="C22" i="7"/>
  <c r="B23" i="7"/>
  <c r="R18" i="9"/>
  <c r="V17" i="9"/>
  <c r="C23" i="7"/>
  <c r="B24" i="7"/>
  <c r="V18" i="9"/>
  <c r="R19" i="9"/>
  <c r="V19" i="9"/>
  <c r="R20" i="9"/>
  <c r="C24" i="7"/>
  <c r="B25" i="7"/>
  <c r="R21" i="9"/>
  <c r="V20" i="9"/>
  <c r="B26" i="7"/>
  <c r="C25" i="7"/>
  <c r="V21" i="9"/>
  <c r="R22" i="9"/>
  <c r="C26" i="7"/>
  <c r="B27" i="7"/>
  <c r="V22" i="9"/>
  <c r="R23" i="9"/>
  <c r="C27" i="7"/>
  <c r="B28" i="7"/>
  <c r="B29" i="7"/>
  <c r="C28" i="7"/>
  <c r="V23" i="9"/>
  <c r="R24" i="9"/>
  <c r="V24" i="9"/>
  <c r="R25" i="9"/>
  <c r="B30" i="7"/>
  <c r="C29" i="7"/>
  <c r="C30" i="7"/>
  <c r="B31" i="7"/>
  <c r="V25" i="9"/>
  <c r="R26" i="9"/>
  <c r="B32" i="7"/>
  <c r="C31" i="7"/>
  <c r="V26" i="9"/>
  <c r="R27" i="9"/>
  <c r="V27" i="9"/>
  <c r="R28" i="9"/>
  <c r="B33" i="7"/>
  <c r="C32" i="7"/>
  <c r="C33" i="7"/>
  <c r="B34" i="7"/>
  <c r="V28" i="9"/>
  <c r="R29" i="9"/>
  <c r="R30" i="9"/>
  <c r="V29" i="9"/>
  <c r="B35" i="7"/>
  <c r="C34" i="7"/>
  <c r="C35" i="7"/>
  <c r="B36" i="7"/>
  <c r="R31" i="9"/>
  <c r="V30" i="9"/>
  <c r="R32" i="9"/>
  <c r="V31" i="9"/>
  <c r="C36" i="7"/>
  <c r="B37" i="7"/>
  <c r="B38" i="7"/>
  <c r="C37" i="7"/>
  <c r="V32" i="9"/>
  <c r="R33" i="9"/>
  <c r="V33" i="9"/>
  <c r="B39" i="7"/>
  <c r="C38" i="7"/>
  <c r="B40" i="7"/>
  <c r="C39" i="7"/>
  <c r="B41" i="7"/>
  <c r="C40" i="7"/>
  <c r="B42" i="7"/>
  <c r="C41" i="7"/>
  <c r="C42" i="7"/>
  <c r="B43" i="7"/>
  <c r="B44" i="7"/>
  <c r="C43" i="7"/>
  <c r="B45" i="7"/>
  <c r="C44" i="7"/>
  <c r="B46" i="7"/>
  <c r="C45" i="7"/>
  <c r="B47" i="7"/>
  <c r="C46" i="7"/>
  <c r="B48" i="7"/>
  <c r="C47" i="7"/>
  <c r="B49" i="7"/>
  <c r="C48" i="7"/>
  <c r="B50" i="7"/>
  <c r="C49" i="7"/>
  <c r="B51" i="7"/>
  <c r="C50" i="7"/>
  <c r="B52" i="7"/>
  <c r="C51" i="7"/>
  <c r="B53" i="7"/>
  <c r="C52" i="7"/>
  <c r="B54" i="7"/>
  <c r="C53" i="7"/>
  <c r="B55" i="7"/>
  <c r="C54" i="7"/>
  <c r="C55" i="7"/>
  <c r="B56" i="7"/>
  <c r="B57" i="7"/>
  <c r="C56" i="7"/>
  <c r="C57" i="7"/>
  <c r="B58" i="7"/>
  <c r="C58" i="7"/>
  <c r="B59" i="7"/>
  <c r="C59" i="7"/>
  <c r="B60" i="7"/>
  <c r="C60" i="7"/>
  <c r="B61" i="7"/>
  <c r="B62" i="7"/>
  <c r="C61" i="7"/>
  <c r="B63" i="7"/>
  <c r="C62" i="7"/>
  <c r="C63" i="7"/>
  <c r="B64" i="7"/>
  <c r="C64" i="7"/>
  <c r="B65" i="7"/>
  <c r="C65" i="7"/>
  <c r="B66" i="7"/>
  <c r="B67" i="7"/>
  <c r="C66" i="7"/>
  <c r="B68" i="7"/>
  <c r="C67" i="7"/>
  <c r="C68" i="7"/>
  <c r="B69" i="7"/>
  <c r="B70" i="7"/>
  <c r="C69" i="7"/>
  <c r="B71" i="7"/>
  <c r="C70" i="7"/>
  <c r="C71" i="7"/>
  <c r="B72" i="7"/>
  <c r="B73" i="7"/>
  <c r="C72" i="7"/>
  <c r="B74" i="7"/>
  <c r="C73" i="7"/>
  <c r="C74" i="7"/>
  <c r="B75" i="7"/>
  <c r="B76" i="7"/>
  <c r="C75" i="7"/>
  <c r="B77" i="7"/>
  <c r="C76" i="7"/>
  <c r="C77" i="7"/>
  <c r="B78" i="7"/>
  <c r="B79" i="7"/>
  <c r="C78" i="7"/>
  <c r="B80" i="7"/>
  <c r="C79" i="7"/>
  <c r="B81" i="7"/>
  <c r="C80" i="7"/>
  <c r="C81" i="7"/>
  <c r="B82" i="7"/>
  <c r="C82" i="7"/>
  <c r="B83" i="7"/>
  <c r="B84" i="7"/>
  <c r="C83" i="7"/>
  <c r="B85" i="7"/>
  <c r="C84" i="7"/>
  <c r="B86" i="7"/>
  <c r="C85" i="7"/>
  <c r="C86" i="7"/>
  <c r="B87" i="7"/>
  <c r="B88" i="7"/>
  <c r="C87" i="7"/>
  <c r="C88" i="7"/>
  <c r="B89" i="7"/>
  <c r="B90" i="7"/>
  <c r="C89" i="7"/>
  <c r="C90" i="7"/>
  <c r="B91" i="7"/>
  <c r="B92" i="7"/>
  <c r="C91" i="7"/>
  <c r="B93" i="7"/>
  <c r="C92" i="7"/>
  <c r="B94" i="7"/>
  <c r="C93" i="7"/>
  <c r="C94" i="7"/>
  <c r="B95" i="7"/>
  <c r="C95" i="7"/>
  <c r="B96" i="7"/>
  <c r="B97" i="7"/>
  <c r="C96" i="7"/>
  <c r="C97" i="7"/>
  <c r="B98" i="7"/>
  <c r="C98" i="7"/>
  <c r="B99" i="7"/>
  <c r="B100" i="7"/>
  <c r="C99" i="7"/>
  <c r="B101" i="7"/>
  <c r="C100" i="7"/>
  <c r="B102" i="7"/>
  <c r="C101" i="7"/>
  <c r="C102" i="7"/>
  <c r="B103" i="7"/>
  <c r="B104" i="7"/>
  <c r="C103" i="7"/>
  <c r="C104" i="7"/>
  <c r="B105" i="7"/>
  <c r="B106" i="7"/>
  <c r="C105" i="7"/>
  <c r="C106" i="7"/>
  <c r="B107" i="7"/>
  <c r="B108" i="7"/>
  <c r="C107" i="7"/>
  <c r="C108" i="7"/>
  <c r="B109" i="7"/>
  <c r="B110" i="7"/>
  <c r="C109" i="7"/>
  <c r="C110" i="7"/>
  <c r="B111" i="7"/>
  <c r="B112" i="7"/>
  <c r="C111" i="7"/>
  <c r="C112" i="7"/>
  <c r="B113" i="7"/>
  <c r="B114" i="7"/>
  <c r="C113" i="7"/>
  <c r="B115" i="7"/>
  <c r="C114" i="7"/>
  <c r="C115" i="7"/>
  <c r="B116" i="7"/>
  <c r="C116" i="7"/>
  <c r="B117" i="7"/>
  <c r="B118" i="7"/>
  <c r="C117" i="7"/>
  <c r="B119" i="7"/>
  <c r="C118" i="7"/>
  <c r="B120" i="7"/>
  <c r="C119" i="7"/>
  <c r="B121" i="7"/>
  <c r="C120" i="7"/>
  <c r="B122" i="7"/>
  <c r="C121" i="7"/>
  <c r="B123" i="7"/>
  <c r="C122" i="7"/>
  <c r="C123" i="7"/>
  <c r="B124" i="7"/>
  <c r="B125" i="7"/>
  <c r="C124" i="7"/>
  <c r="C125" i="7"/>
  <c r="B126" i="7"/>
  <c r="B127" i="7"/>
  <c r="C126" i="7"/>
  <c r="B128" i="7"/>
  <c r="C127" i="7"/>
  <c r="C128" i="7"/>
  <c r="B129" i="7"/>
  <c r="B130" i="7"/>
  <c r="C129" i="7"/>
  <c r="C130" i="7"/>
  <c r="B131" i="7"/>
  <c r="B132" i="7"/>
  <c r="C131" i="7"/>
  <c r="C132" i="7"/>
  <c r="B133" i="7"/>
  <c r="B134" i="7"/>
  <c r="C133" i="7"/>
  <c r="C134" i="7"/>
  <c r="B135" i="7"/>
  <c r="C135" i="7"/>
  <c r="B136" i="7"/>
  <c r="C136" i="7"/>
  <c r="B137" i="7"/>
  <c r="B138" i="7"/>
  <c r="C137" i="7"/>
  <c r="B139" i="7"/>
  <c r="C138" i="7"/>
  <c r="B140" i="7"/>
  <c r="C139" i="7"/>
  <c r="C140" i="7"/>
  <c r="B141" i="7"/>
  <c r="B142" i="7"/>
  <c r="C141" i="7"/>
  <c r="C142" i="7"/>
  <c r="B143" i="7"/>
  <c r="B144" i="7"/>
  <c r="C143" i="7"/>
  <c r="C144" i="7"/>
  <c r="B145" i="7"/>
  <c r="B146" i="7"/>
  <c r="C145" i="7"/>
  <c r="B147" i="7"/>
  <c r="C146" i="7"/>
  <c r="B148" i="7"/>
  <c r="C147" i="7"/>
  <c r="B149" i="7"/>
  <c r="C148" i="7"/>
  <c r="C149" i="7"/>
  <c r="B150" i="7"/>
  <c r="B151" i="7"/>
  <c r="C150" i="7"/>
  <c r="B152" i="7"/>
  <c r="C151" i="7"/>
  <c r="C152" i="7"/>
  <c r="B153" i="7"/>
  <c r="C153" i="7"/>
  <c r="B154" i="7"/>
  <c r="C154" i="7"/>
  <c r="B155" i="7"/>
  <c r="B156" i="7"/>
  <c r="C155" i="7"/>
  <c r="B157" i="7"/>
  <c r="C156" i="7"/>
  <c r="B158" i="7"/>
  <c r="C157" i="7"/>
  <c r="B159" i="7"/>
  <c r="C158" i="7"/>
  <c r="B160" i="7"/>
  <c r="C159" i="7"/>
  <c r="B161" i="7"/>
  <c r="C160" i="7"/>
  <c r="B162" i="7"/>
  <c r="C161" i="7"/>
  <c r="B163" i="7"/>
  <c r="C162" i="7"/>
  <c r="C163" i="7"/>
  <c r="B164" i="7"/>
  <c r="C164" i="7"/>
  <c r="B165" i="7"/>
  <c r="B166" i="7"/>
  <c r="C165" i="7"/>
  <c r="B167" i="7"/>
  <c r="C166" i="7"/>
  <c r="C167" i="7"/>
  <c r="B168" i="7"/>
  <c r="B169" i="7"/>
  <c r="C168" i="7"/>
  <c r="B170" i="7"/>
  <c r="C169" i="7"/>
  <c r="B171" i="7"/>
  <c r="C170" i="7"/>
  <c r="C171" i="7"/>
  <c r="B172" i="7"/>
  <c r="B173" i="7"/>
  <c r="C172" i="7"/>
  <c r="B174" i="7"/>
  <c r="C173" i="7"/>
  <c r="C174" i="7"/>
  <c r="B175" i="7"/>
  <c r="C175" i="7"/>
  <c r="B176" i="7"/>
  <c r="B177" i="7"/>
  <c r="C176" i="7"/>
  <c r="C177" i="7"/>
  <c r="B178" i="7"/>
  <c r="C178" i="7"/>
  <c r="B179" i="7"/>
  <c r="B180" i="7"/>
  <c r="C179" i="7"/>
  <c r="C180" i="7"/>
  <c r="B181" i="7"/>
  <c r="B182" i="7"/>
  <c r="C181" i="7"/>
  <c r="C182" i="7"/>
  <c r="B183" i="7"/>
  <c r="B184" i="7"/>
  <c r="C183" i="7"/>
  <c r="C184" i="7"/>
  <c r="B185" i="7"/>
  <c r="C185" i="7"/>
  <c r="B186" i="7"/>
  <c r="B187" i="7"/>
  <c r="C186" i="7"/>
  <c r="B188" i="7"/>
  <c r="C187" i="7"/>
  <c r="B189" i="7"/>
  <c r="C188" i="7"/>
  <c r="C189" i="7"/>
  <c r="B190" i="7"/>
  <c r="C190" i="7"/>
  <c r="B191" i="7"/>
  <c r="E191" i="7"/>
  <c r="C191" i="7"/>
  <c r="G191" i="7"/>
  <c r="H191" i="7"/>
  <c r="F191" i="7"/>
  <c r="B192" i="7"/>
  <c r="D191" i="7"/>
  <c r="P18" i="9"/>
  <c r="E192" i="7"/>
  <c r="D192" i="7"/>
  <c r="G192" i="7"/>
  <c r="F192" i="7"/>
  <c r="B193" i="7"/>
  <c r="H192" i="7"/>
  <c r="C192" i="7"/>
  <c r="C193" i="7"/>
  <c r="D193" i="7"/>
  <c r="E193" i="7"/>
  <c r="F193" i="7"/>
  <c r="H193" i="7"/>
  <c r="B194" i="7"/>
  <c r="G193" i="7"/>
  <c r="F194" i="7"/>
  <c r="E194" i="7"/>
  <c r="C194" i="7"/>
  <c r="H194" i="7"/>
  <c r="G194" i="7"/>
  <c r="B195" i="7"/>
  <c r="D194" i="7"/>
  <c r="E195" i="7"/>
  <c r="B196" i="7"/>
  <c r="D195" i="7"/>
  <c r="F195" i="7"/>
  <c r="G195" i="7"/>
  <c r="C195" i="7"/>
  <c r="H195" i="7"/>
  <c r="C196" i="7"/>
  <c r="H196" i="7"/>
  <c r="G196" i="7"/>
  <c r="D196" i="7"/>
  <c r="B197" i="7"/>
  <c r="E196" i="7"/>
  <c r="F196" i="7"/>
  <c r="D197" i="7"/>
  <c r="H197" i="7"/>
  <c r="E197" i="7"/>
  <c r="F197" i="7"/>
  <c r="G197" i="7"/>
  <c r="B198" i="7"/>
  <c r="C197" i="7"/>
  <c r="D198" i="7"/>
  <c r="H198" i="7"/>
  <c r="G198" i="7"/>
  <c r="C198" i="7"/>
  <c r="B199" i="7"/>
  <c r="F198" i="7"/>
  <c r="E198" i="7"/>
  <c r="B200" i="7"/>
  <c r="G199" i="7"/>
  <c r="H199" i="7"/>
  <c r="C199" i="7"/>
  <c r="E199" i="7"/>
  <c r="D199" i="7"/>
  <c r="F199" i="7"/>
  <c r="D200" i="7"/>
  <c r="F200" i="7"/>
  <c r="H200" i="7"/>
  <c r="E200" i="7"/>
  <c r="B201" i="7"/>
  <c r="G200" i="7"/>
  <c r="C200" i="7"/>
  <c r="B202" i="7"/>
  <c r="E201" i="7"/>
  <c r="C201" i="7"/>
  <c r="G201" i="7"/>
  <c r="H201" i="7"/>
  <c r="D201" i="7"/>
  <c r="F201" i="7"/>
  <c r="E202" i="7"/>
  <c r="F202" i="7"/>
  <c r="D202" i="7"/>
  <c r="B203" i="7"/>
  <c r="G202" i="7"/>
  <c r="C202" i="7"/>
  <c r="H202" i="7"/>
  <c r="E203" i="7"/>
  <c r="B204" i="7"/>
  <c r="H203" i="7"/>
  <c r="C203" i="7"/>
  <c r="G203" i="7"/>
  <c r="F203" i="7"/>
  <c r="D203" i="7"/>
  <c r="P19" i="9"/>
  <c r="G204" i="7"/>
  <c r="B205" i="7"/>
  <c r="C204" i="7"/>
  <c r="E204" i="7"/>
  <c r="H204" i="7"/>
  <c r="F204" i="7"/>
  <c r="D204" i="7"/>
  <c r="B206" i="7"/>
  <c r="H205" i="7"/>
  <c r="G205" i="7"/>
  <c r="E205" i="7"/>
  <c r="C205" i="7"/>
  <c r="F205" i="7"/>
  <c r="D205" i="7"/>
  <c r="E206" i="7"/>
  <c r="C206" i="7"/>
  <c r="H206" i="7"/>
  <c r="D206" i="7"/>
  <c r="G206" i="7"/>
  <c r="F206" i="7"/>
  <c r="B207" i="7"/>
  <c r="G207" i="7"/>
  <c r="E207" i="7"/>
  <c r="H207" i="7"/>
  <c r="F207" i="7"/>
  <c r="D207" i="7"/>
  <c r="C207" i="7"/>
  <c r="B208" i="7"/>
  <c r="G208" i="7"/>
  <c r="D208" i="7"/>
  <c r="H208" i="7"/>
  <c r="B209" i="7"/>
  <c r="C208" i="7"/>
  <c r="E208" i="7"/>
  <c r="F208" i="7"/>
  <c r="E209" i="7"/>
  <c r="D209" i="7"/>
  <c r="F209" i="7"/>
  <c r="C209" i="7"/>
  <c r="H209" i="7"/>
  <c r="G209" i="7"/>
  <c r="B210" i="7"/>
  <c r="G210" i="7"/>
  <c r="H210" i="7"/>
  <c r="C210" i="7"/>
  <c r="E210" i="7"/>
  <c r="F210" i="7"/>
  <c r="D210" i="7"/>
  <c r="B211" i="7"/>
  <c r="B212" i="7"/>
  <c r="C211" i="7"/>
  <c r="E211" i="7"/>
  <c r="H211" i="7"/>
  <c r="G211" i="7"/>
  <c r="D211" i="7"/>
  <c r="F211" i="7"/>
  <c r="F212" i="7"/>
  <c r="E212" i="7"/>
  <c r="B213" i="7"/>
  <c r="D212" i="7"/>
  <c r="C212" i="7"/>
  <c r="H212" i="7"/>
  <c r="G212" i="7"/>
  <c r="E213" i="7"/>
  <c r="F213" i="7"/>
  <c r="G213" i="7"/>
  <c r="C213" i="7"/>
  <c r="D213" i="7"/>
  <c r="H213" i="7"/>
  <c r="B214" i="7"/>
  <c r="H214" i="7"/>
  <c r="B215" i="7"/>
  <c r="D214" i="7"/>
  <c r="G214" i="7"/>
  <c r="F214" i="7"/>
  <c r="E214" i="7"/>
  <c r="C214" i="7"/>
  <c r="E215" i="7"/>
  <c r="F215" i="7"/>
  <c r="G215" i="7"/>
  <c r="C215" i="7"/>
  <c r="D215" i="7"/>
  <c r="P20" i="9"/>
  <c r="B216" i="7"/>
  <c r="H215" i="7"/>
  <c r="C216" i="7"/>
  <c r="D216" i="7"/>
  <c r="E216" i="7"/>
  <c r="F216" i="7"/>
  <c r="B217" i="7"/>
  <c r="G216" i="7"/>
  <c r="H216" i="7"/>
  <c r="C217" i="7"/>
  <c r="E217" i="7"/>
  <c r="B218" i="7"/>
  <c r="G217" i="7"/>
  <c r="H217" i="7"/>
  <c r="F217" i="7"/>
  <c r="D217" i="7"/>
  <c r="C218" i="7"/>
  <c r="B219" i="7"/>
  <c r="D218" i="7"/>
  <c r="E218" i="7"/>
  <c r="G218" i="7"/>
  <c r="F218" i="7"/>
  <c r="H218" i="7"/>
  <c r="F219" i="7"/>
  <c r="G219" i="7"/>
  <c r="E219" i="7"/>
  <c r="B220" i="7"/>
  <c r="D219" i="7"/>
  <c r="C219" i="7"/>
  <c r="H219" i="7"/>
  <c r="D220" i="7"/>
  <c r="B221" i="7"/>
  <c r="E220" i="7"/>
  <c r="F220" i="7"/>
  <c r="C220" i="7"/>
  <c r="H220" i="7"/>
  <c r="G220" i="7"/>
  <c r="F221" i="7"/>
  <c r="D221" i="7"/>
  <c r="E221" i="7"/>
  <c r="C221" i="7"/>
  <c r="H221" i="7"/>
  <c r="G221" i="7"/>
  <c r="B222" i="7"/>
  <c r="D222" i="7"/>
  <c r="H222" i="7"/>
  <c r="C222" i="7"/>
  <c r="G222" i="7"/>
  <c r="B223" i="7"/>
  <c r="F222" i="7"/>
  <c r="E222" i="7"/>
  <c r="C223" i="7"/>
  <c r="B224" i="7"/>
  <c r="E223" i="7"/>
  <c r="F223" i="7"/>
  <c r="H223" i="7"/>
  <c r="D223" i="7"/>
  <c r="G223" i="7"/>
  <c r="D224" i="7"/>
  <c r="H224" i="7"/>
  <c r="F224" i="7"/>
  <c r="G224" i="7"/>
  <c r="C224" i="7"/>
  <c r="B225" i="7"/>
  <c r="E224" i="7"/>
  <c r="B226" i="7"/>
  <c r="D225" i="7"/>
  <c r="E225" i="7"/>
  <c r="H225" i="7"/>
  <c r="C225" i="7"/>
  <c r="F225" i="7"/>
  <c r="G225" i="7"/>
  <c r="H226" i="7"/>
  <c r="C226" i="7"/>
  <c r="E226" i="7"/>
  <c r="G226" i="7"/>
  <c r="F226" i="7"/>
  <c r="B227" i="7"/>
  <c r="D226" i="7"/>
  <c r="H227" i="7"/>
  <c r="B228" i="7"/>
  <c r="G227" i="7"/>
  <c r="E227" i="7"/>
  <c r="C227" i="7"/>
  <c r="F227" i="7"/>
  <c r="D227" i="7"/>
  <c r="P21" i="9"/>
  <c r="E228" i="7"/>
  <c r="H228" i="7"/>
  <c r="F228" i="7"/>
  <c r="D228" i="7"/>
  <c r="B229" i="7"/>
  <c r="G228" i="7"/>
  <c r="C228" i="7"/>
  <c r="D229" i="7"/>
  <c r="E229" i="7"/>
  <c r="G229" i="7"/>
  <c r="H229" i="7"/>
  <c r="C229" i="7"/>
  <c r="F229" i="7"/>
  <c r="B230" i="7"/>
  <c r="G230" i="7"/>
  <c r="C230" i="7"/>
  <c r="F230" i="7"/>
  <c r="H230" i="7"/>
  <c r="B231" i="7"/>
  <c r="E230" i="7"/>
  <c r="D230" i="7"/>
  <c r="G231" i="7"/>
  <c r="E231" i="7"/>
  <c r="H231" i="7"/>
  <c r="B232" i="7"/>
  <c r="F231" i="7"/>
  <c r="C231" i="7"/>
  <c r="D231" i="7"/>
  <c r="G232" i="7"/>
  <c r="E232" i="7"/>
  <c r="C232" i="7"/>
  <c r="B233" i="7"/>
  <c r="D232" i="7"/>
  <c r="F232" i="7"/>
  <c r="H232" i="7"/>
  <c r="B234" i="7"/>
  <c r="D233" i="7"/>
  <c r="E233" i="7"/>
  <c r="F233" i="7"/>
  <c r="H233" i="7"/>
  <c r="G233" i="7"/>
  <c r="C233" i="7"/>
  <c r="G234" i="7"/>
  <c r="D234" i="7"/>
  <c r="C234" i="7"/>
  <c r="E234" i="7"/>
  <c r="B235" i="7"/>
  <c r="H234" i="7"/>
  <c r="F234" i="7"/>
  <c r="F235" i="7"/>
  <c r="D235" i="7"/>
  <c r="G235" i="7"/>
  <c r="C235" i="7"/>
  <c r="H235" i="7"/>
  <c r="B236" i="7"/>
  <c r="E235" i="7"/>
  <c r="G236" i="7"/>
  <c r="C236" i="7"/>
  <c r="E236" i="7"/>
  <c r="H236" i="7"/>
  <c r="F236" i="7"/>
  <c r="D236" i="7"/>
  <c r="B237" i="7"/>
  <c r="D237" i="7"/>
  <c r="H237" i="7"/>
  <c r="E237" i="7"/>
  <c r="C237" i="7"/>
  <c r="B238" i="7"/>
  <c r="G237" i="7"/>
  <c r="F237" i="7"/>
  <c r="H238" i="7"/>
  <c r="B239" i="7"/>
  <c r="C238" i="7"/>
  <c r="E238" i="7"/>
  <c r="F238" i="7"/>
  <c r="D238" i="7"/>
  <c r="G238" i="7"/>
  <c r="G239" i="7"/>
  <c r="F239" i="7"/>
  <c r="D239" i="7"/>
  <c r="P22" i="9"/>
  <c r="H239" i="7"/>
  <c r="B240" i="7"/>
  <c r="E239" i="7"/>
  <c r="C239" i="7"/>
  <c r="D240" i="7"/>
  <c r="E240" i="7"/>
  <c r="C240" i="7"/>
  <c r="G240" i="7"/>
  <c r="H240" i="7"/>
  <c r="F240" i="7"/>
  <c r="B241" i="7"/>
  <c r="F241" i="7"/>
  <c r="G241" i="7"/>
  <c r="C241" i="7"/>
  <c r="D241" i="7"/>
  <c r="E241" i="7"/>
  <c r="H241" i="7"/>
  <c r="B242" i="7"/>
  <c r="B243" i="7"/>
  <c r="E242" i="7"/>
  <c r="F242" i="7"/>
  <c r="C242" i="7"/>
  <c r="D242" i="7"/>
  <c r="G242" i="7"/>
  <c r="H242" i="7"/>
  <c r="B244" i="7"/>
  <c r="H243" i="7"/>
  <c r="C243" i="7"/>
  <c r="E243" i="7"/>
  <c r="G243" i="7"/>
  <c r="F243" i="7"/>
  <c r="D243" i="7"/>
  <c r="D244" i="7"/>
  <c r="F244" i="7"/>
  <c r="H244" i="7"/>
  <c r="E244" i="7"/>
  <c r="C244" i="7"/>
  <c r="G244" i="7"/>
  <c r="B245" i="7"/>
  <c r="B246" i="7"/>
  <c r="H245" i="7"/>
  <c r="F245" i="7"/>
  <c r="G245" i="7"/>
  <c r="E245" i="7"/>
  <c r="C245" i="7"/>
  <c r="D245" i="7"/>
  <c r="D246" i="7"/>
  <c r="B247" i="7"/>
  <c r="G246" i="7"/>
  <c r="F246" i="7"/>
  <c r="C246" i="7"/>
  <c r="E246" i="7"/>
  <c r="H246" i="7"/>
  <c r="G247" i="7"/>
  <c r="C247" i="7"/>
  <c r="H247" i="7"/>
  <c r="E247" i="7"/>
  <c r="F247" i="7"/>
  <c r="D247" i="7"/>
  <c r="B248" i="7"/>
  <c r="E248" i="7"/>
  <c r="C248" i="7"/>
  <c r="F248" i="7"/>
  <c r="G248" i="7"/>
  <c r="B249" i="7"/>
  <c r="D248" i="7"/>
  <c r="H248" i="7"/>
  <c r="B250" i="7"/>
  <c r="H249" i="7"/>
  <c r="F249" i="7"/>
  <c r="C249" i="7"/>
  <c r="G249" i="7"/>
  <c r="D249" i="7"/>
  <c r="E249" i="7"/>
  <c r="F250" i="7"/>
  <c r="C250" i="7"/>
  <c r="H250" i="7"/>
  <c r="D250" i="7"/>
  <c r="E250" i="7"/>
  <c r="G250" i="7"/>
  <c r="B251" i="7"/>
  <c r="B252" i="7"/>
  <c r="E251" i="7"/>
  <c r="F251" i="7"/>
  <c r="H251" i="7"/>
  <c r="D251" i="7"/>
  <c r="P23" i="9"/>
  <c r="C251" i="7"/>
  <c r="G251" i="7"/>
  <c r="G252" i="7"/>
  <c r="E252" i="7"/>
  <c r="H252" i="7"/>
  <c r="B253" i="7"/>
  <c r="F252" i="7"/>
  <c r="C252" i="7"/>
  <c r="D252" i="7"/>
  <c r="E253" i="7"/>
  <c r="C253" i="7"/>
  <c r="F253" i="7"/>
  <c r="H253" i="7"/>
  <c r="B254" i="7"/>
  <c r="D253" i="7"/>
  <c r="G253" i="7"/>
  <c r="G254" i="7"/>
  <c r="H254" i="7"/>
  <c r="E254" i="7"/>
  <c r="B255" i="7"/>
  <c r="D254" i="7"/>
  <c r="C254" i="7"/>
  <c r="F254" i="7"/>
  <c r="G255" i="7"/>
  <c r="C255" i="7"/>
  <c r="B256" i="7"/>
  <c r="F255" i="7"/>
  <c r="H255" i="7"/>
  <c r="D255" i="7"/>
  <c r="E255" i="7"/>
  <c r="E256" i="7"/>
  <c r="G256" i="7"/>
  <c r="F256" i="7"/>
  <c r="B257" i="7"/>
  <c r="H256" i="7"/>
  <c r="D256" i="7"/>
  <c r="C256" i="7"/>
  <c r="F257" i="7"/>
  <c r="E257" i="7"/>
  <c r="B258" i="7"/>
  <c r="G257" i="7"/>
  <c r="D257" i="7"/>
  <c r="H257" i="7"/>
  <c r="C257" i="7"/>
  <c r="H258" i="7"/>
  <c r="G258" i="7"/>
  <c r="F258" i="7"/>
  <c r="E258" i="7"/>
  <c r="C258" i="7"/>
  <c r="B259" i="7"/>
  <c r="D258" i="7"/>
  <c r="B260" i="7"/>
  <c r="H259" i="7"/>
  <c r="C259" i="7"/>
  <c r="F259" i="7"/>
  <c r="E259" i="7"/>
  <c r="D259" i="7"/>
  <c r="G259" i="7"/>
  <c r="B261" i="7"/>
  <c r="F260" i="7"/>
  <c r="D260" i="7"/>
  <c r="E260" i="7"/>
  <c r="H260" i="7"/>
  <c r="C260" i="7"/>
  <c r="G260" i="7"/>
  <c r="C261" i="7"/>
  <c r="D261" i="7"/>
  <c r="E261" i="7"/>
  <c r="F261" i="7"/>
  <c r="B262" i="7"/>
  <c r="H261" i="7"/>
  <c r="G261" i="7"/>
  <c r="B263" i="7"/>
  <c r="C262" i="7"/>
  <c r="H262" i="7"/>
  <c r="E262" i="7"/>
  <c r="F262" i="7"/>
  <c r="D262" i="7"/>
  <c r="G262" i="7"/>
  <c r="B264" i="7"/>
  <c r="E263" i="7"/>
  <c r="C263" i="7"/>
  <c r="D263" i="7"/>
  <c r="P24" i="9"/>
  <c r="H263" i="7"/>
  <c r="G263" i="7"/>
  <c r="F263" i="7"/>
  <c r="F264" i="7"/>
  <c r="G264" i="7"/>
  <c r="E264" i="7"/>
  <c r="H264" i="7"/>
  <c r="C264" i="7"/>
  <c r="B265" i="7"/>
  <c r="D264" i="7"/>
  <c r="G265" i="7"/>
  <c r="H265" i="7"/>
  <c r="D265" i="7"/>
  <c r="B266" i="7"/>
  <c r="E265" i="7"/>
  <c r="F265" i="7"/>
  <c r="C265" i="7"/>
  <c r="B267" i="7"/>
  <c r="G266" i="7"/>
  <c r="H266" i="7"/>
  <c r="E266" i="7"/>
  <c r="F266" i="7"/>
  <c r="D266" i="7"/>
  <c r="C266" i="7"/>
  <c r="C267" i="7"/>
  <c r="B268" i="7"/>
  <c r="H267" i="7"/>
  <c r="F267" i="7"/>
  <c r="D267" i="7"/>
  <c r="G267" i="7"/>
  <c r="E267" i="7"/>
  <c r="B269" i="7"/>
  <c r="F268" i="7"/>
  <c r="D268" i="7"/>
  <c r="C268" i="7"/>
  <c r="G268" i="7"/>
  <c r="H268" i="7"/>
  <c r="E268" i="7"/>
  <c r="B270" i="7"/>
  <c r="H269" i="7"/>
  <c r="C269" i="7"/>
  <c r="G269" i="7"/>
  <c r="F269" i="7"/>
  <c r="D269" i="7"/>
  <c r="E269" i="7"/>
  <c r="F270" i="7"/>
  <c r="H270" i="7"/>
  <c r="D270" i="7"/>
  <c r="G270" i="7"/>
  <c r="C270" i="7"/>
  <c r="E270" i="7"/>
  <c r="B271" i="7"/>
  <c r="C271" i="7"/>
  <c r="F271" i="7"/>
  <c r="E271" i="7"/>
  <c r="D271" i="7"/>
  <c r="G271" i="7"/>
  <c r="B272" i="7"/>
  <c r="H271" i="7"/>
  <c r="C272" i="7"/>
  <c r="D272" i="7"/>
  <c r="E272" i="7"/>
  <c r="B273" i="7"/>
  <c r="G272" i="7"/>
  <c r="F272" i="7"/>
  <c r="H272" i="7"/>
  <c r="D273" i="7"/>
  <c r="H273" i="7"/>
  <c r="E273" i="7"/>
  <c r="B274" i="7"/>
  <c r="F273" i="7"/>
  <c r="C273" i="7"/>
  <c r="G273" i="7"/>
  <c r="G274" i="7"/>
  <c r="B275" i="7"/>
  <c r="D274" i="7"/>
  <c r="H274" i="7"/>
  <c r="F274" i="7"/>
  <c r="C274" i="7"/>
  <c r="E274" i="7"/>
  <c r="F275" i="7"/>
  <c r="G275" i="7"/>
  <c r="D275" i="7"/>
  <c r="P25" i="9"/>
  <c r="B276" i="7"/>
  <c r="E275" i="7"/>
  <c r="C275" i="7"/>
  <c r="H275" i="7"/>
  <c r="H276" i="7"/>
  <c r="E276" i="7"/>
  <c r="C276" i="7"/>
  <c r="G276" i="7"/>
  <c r="B277" i="7"/>
  <c r="D276" i="7"/>
  <c r="F276" i="7"/>
  <c r="F277" i="7"/>
  <c r="G277" i="7"/>
  <c r="C277" i="7"/>
  <c r="H277" i="7"/>
  <c r="B278" i="7"/>
  <c r="D277" i="7"/>
  <c r="E277" i="7"/>
  <c r="D278" i="7"/>
  <c r="F278" i="7"/>
  <c r="H278" i="7"/>
  <c r="B279" i="7"/>
  <c r="G278" i="7"/>
  <c r="E278" i="7"/>
  <c r="C278" i="7"/>
  <c r="C279" i="7"/>
  <c r="H279" i="7"/>
  <c r="F279" i="7"/>
  <c r="E279" i="7"/>
  <c r="B280" i="7"/>
  <c r="G279" i="7"/>
  <c r="D279" i="7"/>
  <c r="E280" i="7"/>
  <c r="C280" i="7"/>
  <c r="H280" i="7"/>
  <c r="F280" i="7"/>
  <c r="G280" i="7"/>
  <c r="B281" i="7"/>
  <c r="D280" i="7"/>
  <c r="B282" i="7"/>
  <c r="D281" i="7"/>
  <c r="F281" i="7"/>
  <c r="H281" i="7"/>
  <c r="E281" i="7"/>
  <c r="G281" i="7"/>
  <c r="C281" i="7"/>
  <c r="G282" i="7"/>
  <c r="F282" i="7"/>
  <c r="H282" i="7"/>
  <c r="C282" i="7"/>
  <c r="E282" i="7"/>
  <c r="B283" i="7"/>
  <c r="D282" i="7"/>
  <c r="H283" i="7"/>
  <c r="C283" i="7"/>
  <c r="B284" i="7"/>
  <c r="D283" i="7"/>
  <c r="E283" i="7"/>
  <c r="F283" i="7"/>
  <c r="G283" i="7"/>
  <c r="H284" i="7"/>
  <c r="C284" i="7"/>
  <c r="G284" i="7"/>
  <c r="D284" i="7"/>
  <c r="B285" i="7"/>
  <c r="E284" i="7"/>
  <c r="F284" i="7"/>
  <c r="D285" i="7"/>
  <c r="H285" i="7"/>
  <c r="F285" i="7"/>
  <c r="C285" i="7"/>
  <c r="G285" i="7"/>
  <c r="B286" i="7"/>
  <c r="E285" i="7"/>
  <c r="G286" i="7"/>
  <c r="B287" i="7"/>
  <c r="C286" i="7"/>
  <c r="F286" i="7"/>
  <c r="H286" i="7"/>
  <c r="D286" i="7"/>
  <c r="E286" i="7"/>
  <c r="H287" i="7"/>
  <c r="E287" i="7"/>
  <c r="D287" i="7"/>
  <c r="P26" i="9"/>
  <c r="G287" i="7"/>
  <c r="F287" i="7"/>
  <c r="B288" i="7"/>
  <c r="C287" i="7"/>
  <c r="G288" i="7"/>
  <c r="E288" i="7"/>
  <c r="H288" i="7"/>
  <c r="B289" i="7"/>
  <c r="D288" i="7"/>
  <c r="C288" i="7"/>
  <c r="F288" i="7"/>
  <c r="F289" i="7"/>
  <c r="C289" i="7"/>
  <c r="D289" i="7"/>
  <c r="E289" i="7"/>
  <c r="H289" i="7"/>
  <c r="B290" i="7"/>
  <c r="G289" i="7"/>
  <c r="H290" i="7"/>
  <c r="F290" i="7"/>
  <c r="B291" i="7"/>
  <c r="E290" i="7"/>
  <c r="C290" i="7"/>
  <c r="G290" i="7"/>
  <c r="D290" i="7"/>
  <c r="B292" i="7"/>
  <c r="D291" i="7"/>
  <c r="F291" i="7"/>
  <c r="G291" i="7"/>
  <c r="H291" i="7"/>
  <c r="C291" i="7"/>
  <c r="E291" i="7"/>
  <c r="H292" i="7"/>
  <c r="D292" i="7"/>
  <c r="G292" i="7"/>
  <c r="F292" i="7"/>
  <c r="E292" i="7"/>
  <c r="C292" i="7"/>
  <c r="B293" i="7"/>
  <c r="B294" i="7"/>
  <c r="F293" i="7"/>
  <c r="G293" i="7"/>
  <c r="D293" i="7"/>
  <c r="E293" i="7"/>
  <c r="H293" i="7"/>
  <c r="C293" i="7"/>
  <c r="H294" i="7"/>
  <c r="B295" i="7"/>
  <c r="D294" i="7"/>
  <c r="G294" i="7"/>
  <c r="F294" i="7"/>
  <c r="E294" i="7"/>
  <c r="C294" i="7"/>
  <c r="G295" i="7"/>
  <c r="E295" i="7"/>
  <c r="H295" i="7"/>
  <c r="D295" i="7"/>
  <c r="B296" i="7"/>
  <c r="C295" i="7"/>
  <c r="F295" i="7"/>
  <c r="H296" i="7"/>
  <c r="C296" i="7"/>
  <c r="E296" i="7"/>
  <c r="D296" i="7"/>
  <c r="B297" i="7"/>
  <c r="G296" i="7"/>
  <c r="F296" i="7"/>
  <c r="B298" i="7"/>
  <c r="D297" i="7"/>
  <c r="C297" i="7"/>
  <c r="E297" i="7"/>
  <c r="G297" i="7"/>
  <c r="F297" i="7"/>
  <c r="H297" i="7"/>
  <c r="D298" i="7"/>
  <c r="B299" i="7"/>
  <c r="H298" i="7"/>
  <c r="G298" i="7"/>
  <c r="F298" i="7"/>
  <c r="E298" i="7"/>
  <c r="C298" i="7"/>
  <c r="D299" i="7"/>
  <c r="P27" i="9"/>
  <c r="F299" i="7"/>
  <c r="C299" i="7"/>
  <c r="E299" i="7"/>
  <c r="G299" i="7"/>
  <c r="H299" i="7"/>
  <c r="B300" i="7"/>
  <c r="B301" i="7"/>
  <c r="D300" i="7"/>
  <c r="C300" i="7"/>
  <c r="F300" i="7"/>
  <c r="H300" i="7"/>
  <c r="E300" i="7"/>
  <c r="G300" i="7"/>
  <c r="D301" i="7"/>
  <c r="B302" i="7"/>
  <c r="E301" i="7"/>
  <c r="C301" i="7"/>
  <c r="G301" i="7"/>
  <c r="H301" i="7"/>
  <c r="F301" i="7"/>
  <c r="G302" i="7"/>
  <c r="H302" i="7"/>
  <c r="F302" i="7"/>
  <c r="E302" i="7"/>
  <c r="D302" i="7"/>
  <c r="C302" i="7"/>
  <c r="B303" i="7"/>
  <c r="D303" i="7"/>
  <c r="H303" i="7"/>
  <c r="C303" i="7"/>
  <c r="G303" i="7"/>
  <c r="B304" i="7"/>
  <c r="E303" i="7"/>
  <c r="F303" i="7"/>
  <c r="G304" i="7"/>
  <c r="H304" i="7"/>
  <c r="C304" i="7"/>
  <c r="B305" i="7"/>
  <c r="F304" i="7"/>
  <c r="E304" i="7"/>
  <c r="D304" i="7"/>
  <c r="E305" i="7"/>
  <c r="D305" i="7"/>
  <c r="F305" i="7"/>
  <c r="B306" i="7"/>
  <c r="H305" i="7"/>
  <c r="G305" i="7"/>
  <c r="C305" i="7"/>
  <c r="B307" i="7"/>
  <c r="H306" i="7"/>
  <c r="D306" i="7"/>
  <c r="E306" i="7"/>
  <c r="F306" i="7"/>
  <c r="G306" i="7"/>
  <c r="C306" i="7"/>
  <c r="H307" i="7"/>
  <c r="C307" i="7"/>
  <c r="G307" i="7"/>
  <c r="B308" i="7"/>
  <c r="E307" i="7"/>
  <c r="D307" i="7"/>
  <c r="F307" i="7"/>
  <c r="D308" i="7"/>
  <c r="B309" i="7"/>
  <c r="C308" i="7"/>
  <c r="H308" i="7"/>
  <c r="E308" i="7"/>
  <c r="F308" i="7"/>
  <c r="G308" i="7"/>
  <c r="D309" i="7"/>
  <c r="B310" i="7"/>
  <c r="H309" i="7"/>
  <c r="E309" i="7"/>
  <c r="G309" i="7"/>
  <c r="C309" i="7"/>
  <c r="F309" i="7"/>
  <c r="E310" i="7"/>
  <c r="B311" i="7"/>
  <c r="H310" i="7"/>
  <c r="F310" i="7"/>
  <c r="D310" i="7"/>
  <c r="G310" i="7"/>
  <c r="C310" i="7"/>
  <c r="E311" i="7"/>
  <c r="B312" i="7"/>
  <c r="F311" i="7"/>
  <c r="D311" i="7"/>
  <c r="P28" i="9"/>
  <c r="C311" i="7"/>
  <c r="H311" i="7"/>
  <c r="G311" i="7"/>
  <c r="H312" i="7"/>
  <c r="D312" i="7"/>
  <c r="C312" i="7"/>
  <c r="B313" i="7"/>
  <c r="E312" i="7"/>
  <c r="F312" i="7"/>
  <c r="G312" i="7"/>
  <c r="C313" i="7"/>
  <c r="F313" i="7"/>
  <c r="G313" i="7"/>
  <c r="B314" i="7"/>
  <c r="D313" i="7"/>
  <c r="E313" i="7"/>
  <c r="H313" i="7"/>
  <c r="D314" i="7"/>
  <c r="F314" i="7"/>
  <c r="H314" i="7"/>
  <c r="E314" i="7"/>
  <c r="C314" i="7"/>
  <c r="B315" i="7"/>
  <c r="G314" i="7"/>
  <c r="D315" i="7"/>
  <c r="H315" i="7"/>
  <c r="F315" i="7"/>
  <c r="B316" i="7"/>
  <c r="E315" i="7"/>
  <c r="G315" i="7"/>
  <c r="C315" i="7"/>
  <c r="D316" i="7"/>
  <c r="F316" i="7"/>
  <c r="E316" i="7"/>
  <c r="B317" i="7"/>
  <c r="G316" i="7"/>
  <c r="H316" i="7"/>
  <c r="C316" i="7"/>
  <c r="G317" i="7"/>
  <c r="B318" i="7"/>
  <c r="E317" i="7"/>
  <c r="F317" i="7"/>
  <c r="C317" i="7"/>
  <c r="H317" i="7"/>
  <c r="D317" i="7"/>
  <c r="D318" i="7"/>
  <c r="G318" i="7"/>
  <c r="C318" i="7"/>
  <c r="F318" i="7"/>
  <c r="H318" i="7"/>
  <c r="E318" i="7"/>
  <c r="B319" i="7"/>
  <c r="B320" i="7"/>
  <c r="E319" i="7"/>
  <c r="C319" i="7"/>
  <c r="F319" i="7"/>
  <c r="D319" i="7"/>
  <c r="G319" i="7"/>
  <c r="H319" i="7"/>
  <c r="C320" i="7"/>
  <c r="B321" i="7"/>
  <c r="H320" i="7"/>
  <c r="G320" i="7"/>
  <c r="D320" i="7"/>
  <c r="E320" i="7"/>
  <c r="F320" i="7"/>
  <c r="D321" i="7"/>
  <c r="E321" i="7"/>
  <c r="G321" i="7"/>
  <c r="F321" i="7"/>
  <c r="C321" i="7"/>
  <c r="B322" i="7"/>
  <c r="H321" i="7"/>
  <c r="B323" i="7"/>
  <c r="F322" i="7"/>
  <c r="G322" i="7"/>
  <c r="H322" i="7"/>
  <c r="D322" i="7"/>
  <c r="E322" i="7"/>
  <c r="C322" i="7"/>
  <c r="H323" i="7"/>
  <c r="C323" i="7"/>
  <c r="G323" i="7"/>
  <c r="D323" i="7"/>
  <c r="P29" i="9"/>
  <c r="F323" i="7"/>
  <c r="E323" i="7"/>
  <c r="B324" i="7"/>
  <c r="B325" i="7"/>
  <c r="C324" i="7"/>
  <c r="H324" i="7"/>
  <c r="E324" i="7"/>
  <c r="D324" i="7"/>
  <c r="F324" i="7"/>
  <c r="G324" i="7"/>
  <c r="F325" i="7"/>
  <c r="C325" i="7"/>
  <c r="H325" i="7"/>
  <c r="D325" i="7"/>
  <c r="B326" i="7"/>
  <c r="G325" i="7"/>
  <c r="E325" i="7"/>
  <c r="G326" i="7"/>
  <c r="H326" i="7"/>
  <c r="C326" i="7"/>
  <c r="E326" i="7"/>
  <c r="D326" i="7"/>
  <c r="F326" i="7"/>
  <c r="B327" i="7"/>
  <c r="D327" i="7"/>
  <c r="H327" i="7"/>
  <c r="C327" i="7"/>
  <c r="B328" i="7"/>
  <c r="F327" i="7"/>
  <c r="G327" i="7"/>
  <c r="E327" i="7"/>
  <c r="H328" i="7"/>
  <c r="C328" i="7"/>
  <c r="B329" i="7"/>
  <c r="F328" i="7"/>
  <c r="D328" i="7"/>
  <c r="G328" i="7"/>
  <c r="E328" i="7"/>
  <c r="F329" i="7"/>
  <c r="H329" i="7"/>
  <c r="G329" i="7"/>
  <c r="B330" i="7"/>
  <c r="C329" i="7"/>
  <c r="E329" i="7"/>
  <c r="D329" i="7"/>
  <c r="F330" i="7"/>
  <c r="G330" i="7"/>
  <c r="E330" i="7"/>
  <c r="C330" i="7"/>
  <c r="H330" i="7"/>
  <c r="D330" i="7"/>
  <c r="B331" i="7"/>
  <c r="C331" i="7"/>
  <c r="D331" i="7"/>
  <c r="E331" i="7"/>
  <c r="F331" i="7"/>
  <c r="G331" i="7"/>
  <c r="B332" i="7"/>
  <c r="H331" i="7"/>
  <c r="D332" i="7"/>
  <c r="F332" i="7"/>
  <c r="E332" i="7"/>
  <c r="H332" i="7"/>
  <c r="C332" i="7"/>
  <c r="G332" i="7"/>
  <c r="B333" i="7"/>
  <c r="G333" i="7"/>
  <c r="B334" i="7"/>
  <c r="F333" i="7"/>
  <c r="D333" i="7"/>
  <c r="H333" i="7"/>
  <c r="E333" i="7"/>
  <c r="C333" i="7"/>
  <c r="G334" i="7"/>
  <c r="D334" i="7"/>
  <c r="E334" i="7"/>
  <c r="H334" i="7"/>
  <c r="B335" i="7"/>
  <c r="C334" i="7"/>
  <c r="F334" i="7"/>
  <c r="B336" i="7"/>
  <c r="C335" i="7"/>
  <c r="D335" i="7"/>
  <c r="P30" i="9"/>
  <c r="F335" i="7"/>
  <c r="H335" i="7"/>
  <c r="G335" i="7"/>
  <c r="E335" i="7"/>
  <c r="C336" i="7"/>
  <c r="G336" i="7"/>
  <c r="F336" i="7"/>
  <c r="D336" i="7"/>
  <c r="B337" i="7"/>
  <c r="E336" i="7"/>
  <c r="H336" i="7"/>
  <c r="F337" i="7"/>
  <c r="E337" i="7"/>
  <c r="G337" i="7"/>
  <c r="C337" i="7"/>
  <c r="H337" i="7"/>
  <c r="D337" i="7"/>
  <c r="B338" i="7"/>
  <c r="E338" i="7"/>
  <c r="D338" i="7"/>
  <c r="C338" i="7"/>
  <c r="H338" i="7"/>
  <c r="B339" i="7"/>
  <c r="G338" i="7"/>
  <c r="F338" i="7"/>
  <c r="H339" i="7"/>
  <c r="D339" i="7"/>
  <c r="C339" i="7"/>
  <c r="G339" i="7"/>
  <c r="F339" i="7"/>
  <c r="B340" i="7"/>
  <c r="E339" i="7"/>
  <c r="H340" i="7"/>
  <c r="B341" i="7"/>
  <c r="F340" i="7"/>
  <c r="D340" i="7"/>
  <c r="G340" i="7"/>
  <c r="E340" i="7"/>
  <c r="C340" i="7"/>
  <c r="H341" i="7"/>
  <c r="F341" i="7"/>
  <c r="B342" i="7"/>
  <c r="C341" i="7"/>
  <c r="D341" i="7"/>
  <c r="E341" i="7"/>
  <c r="G341" i="7"/>
  <c r="H342" i="7"/>
  <c r="F342" i="7"/>
  <c r="G342" i="7"/>
  <c r="E342" i="7"/>
  <c r="B343" i="7"/>
  <c r="D342" i="7"/>
  <c r="C342" i="7"/>
  <c r="D343" i="7"/>
  <c r="G343" i="7"/>
  <c r="F343" i="7"/>
  <c r="H343" i="7"/>
  <c r="C343" i="7"/>
  <c r="B344" i="7"/>
  <c r="E343" i="7"/>
  <c r="E344" i="7"/>
  <c r="F344" i="7"/>
  <c r="B345" i="7"/>
  <c r="H344" i="7"/>
  <c r="D344" i="7"/>
  <c r="C344" i="7"/>
  <c r="G344" i="7"/>
  <c r="C345" i="7"/>
  <c r="E345" i="7"/>
  <c r="B346" i="7"/>
  <c r="G345" i="7"/>
  <c r="F345" i="7"/>
  <c r="H345" i="7"/>
  <c r="D345" i="7"/>
  <c r="G346" i="7"/>
  <c r="B347" i="7"/>
  <c r="E346" i="7"/>
  <c r="H346" i="7"/>
  <c r="D346" i="7"/>
  <c r="F346" i="7"/>
  <c r="C346" i="7"/>
  <c r="D347" i="7"/>
  <c r="P31" i="9"/>
  <c r="F347" i="7"/>
  <c r="B348" i="7"/>
  <c r="C347" i="7"/>
  <c r="H347" i="7"/>
  <c r="G347" i="7"/>
  <c r="E347" i="7"/>
  <c r="C348" i="7"/>
  <c r="H348" i="7"/>
  <c r="G348" i="7"/>
  <c r="F348" i="7"/>
  <c r="B349" i="7"/>
  <c r="E348" i="7"/>
  <c r="D348" i="7"/>
  <c r="G349" i="7"/>
  <c r="H349" i="7"/>
  <c r="F349" i="7"/>
  <c r="D349" i="7"/>
  <c r="C349" i="7"/>
  <c r="B350" i="7"/>
  <c r="E349" i="7"/>
  <c r="C350" i="7"/>
  <c r="E350" i="7"/>
  <c r="D350" i="7"/>
  <c r="G350" i="7"/>
  <c r="F350" i="7"/>
  <c r="H350" i="7"/>
  <c r="B351" i="7"/>
  <c r="F351" i="7"/>
  <c r="E351" i="7"/>
  <c r="G351" i="7"/>
  <c r="B352" i="7"/>
  <c r="H351" i="7"/>
  <c r="D351" i="7"/>
  <c r="C351" i="7"/>
  <c r="G352" i="7"/>
  <c r="B353" i="7"/>
  <c r="F352" i="7"/>
  <c r="E352" i="7"/>
  <c r="D352" i="7"/>
  <c r="H352" i="7"/>
  <c r="C352" i="7"/>
  <c r="F353" i="7"/>
  <c r="H353" i="7"/>
  <c r="C353" i="7"/>
  <c r="E353" i="7"/>
  <c r="B354" i="7"/>
  <c r="G353" i="7"/>
  <c r="D353" i="7"/>
  <c r="F354" i="7"/>
  <c r="D354" i="7"/>
  <c r="C354" i="7"/>
  <c r="G354" i="7"/>
  <c r="H354" i="7"/>
  <c r="E354" i="7"/>
  <c r="B355" i="7"/>
  <c r="D355" i="7"/>
  <c r="C355" i="7"/>
  <c r="G355" i="7"/>
  <c r="E355" i="7"/>
  <c r="F355" i="7"/>
  <c r="H355" i="7"/>
  <c r="B356" i="7"/>
  <c r="F356" i="7"/>
  <c r="G356" i="7"/>
  <c r="B357" i="7"/>
  <c r="H356" i="7"/>
  <c r="D356" i="7"/>
  <c r="E356" i="7"/>
  <c r="C356" i="7"/>
  <c r="D357" i="7"/>
  <c r="G357" i="7"/>
  <c r="B358" i="7"/>
  <c r="E357" i="7"/>
  <c r="C357" i="7"/>
  <c r="F357" i="7"/>
  <c r="H357" i="7"/>
  <c r="C358" i="7"/>
  <c r="E358" i="7"/>
  <c r="F358" i="7"/>
  <c r="B359" i="7"/>
  <c r="H358" i="7"/>
  <c r="G358" i="7"/>
  <c r="D358" i="7"/>
  <c r="H359" i="7"/>
  <c r="E359" i="7"/>
  <c r="C359" i="7"/>
  <c r="G359" i="7"/>
  <c r="F359" i="7"/>
  <c r="B360" i="7"/>
  <c r="D359" i="7"/>
  <c r="P32" i="9"/>
  <c r="B361" i="7"/>
  <c r="H360" i="7"/>
  <c r="D360" i="7"/>
  <c r="F360" i="7"/>
  <c r="C360" i="7"/>
  <c r="G360" i="7"/>
  <c r="E360" i="7"/>
  <c r="G361" i="7"/>
  <c r="C361" i="7"/>
  <c r="D361" i="7"/>
  <c r="B362" i="7"/>
  <c r="H361" i="7"/>
  <c r="E361" i="7"/>
  <c r="F361" i="7"/>
  <c r="C362" i="7"/>
  <c r="F362" i="7"/>
  <c r="H362" i="7"/>
  <c r="G362" i="7"/>
  <c r="D362" i="7"/>
  <c r="B363" i="7"/>
  <c r="E362" i="7"/>
  <c r="F363" i="7"/>
  <c r="D363" i="7"/>
  <c r="H363" i="7"/>
  <c r="B364" i="7"/>
  <c r="G363" i="7"/>
  <c r="E363" i="7"/>
  <c r="C363" i="7"/>
  <c r="B365" i="7"/>
  <c r="D364" i="7"/>
  <c r="E364" i="7"/>
  <c r="C364" i="7"/>
  <c r="F364" i="7"/>
  <c r="H364" i="7"/>
  <c r="G364" i="7"/>
  <c r="G365" i="7"/>
  <c r="C365" i="7"/>
  <c r="B366" i="7"/>
  <c r="F365" i="7"/>
  <c r="E365" i="7"/>
  <c r="D365" i="7"/>
  <c r="H365" i="7"/>
  <c r="G366" i="7"/>
  <c r="H366" i="7"/>
  <c r="F366" i="7"/>
  <c r="E366" i="7"/>
  <c r="C366" i="7"/>
  <c r="B367" i="7"/>
  <c r="D366" i="7"/>
  <c r="G367" i="7"/>
  <c r="B368" i="7"/>
  <c r="C367" i="7"/>
  <c r="E367" i="7"/>
  <c r="F367" i="7"/>
  <c r="D367" i="7"/>
  <c r="H367" i="7"/>
  <c r="H368" i="7"/>
  <c r="G368" i="7"/>
  <c r="E368" i="7"/>
  <c r="F368" i="7"/>
  <c r="B369" i="7"/>
  <c r="C368" i="7"/>
  <c r="D368" i="7"/>
  <c r="F369" i="7"/>
  <c r="C369" i="7"/>
  <c r="B370" i="7"/>
  <c r="E369" i="7"/>
  <c r="D369" i="7"/>
  <c r="G369" i="7"/>
  <c r="H369" i="7"/>
  <c r="F370" i="7"/>
  <c r="D370" i="7"/>
  <c r="C370" i="7"/>
  <c r="H370" i="7"/>
  <c r="G370" i="7"/>
  <c r="E370" i="7"/>
  <c r="U22" i="9"/>
  <c r="S22" i="9"/>
  <c r="C20" i="10"/>
  <c r="U32" i="9"/>
  <c r="S32" i="9"/>
  <c r="U4" i="9"/>
  <c r="U19" i="9"/>
  <c r="S19" i="9"/>
  <c r="U17" i="9"/>
  <c r="U15" i="9"/>
  <c r="U31" i="9"/>
  <c r="S31" i="9"/>
  <c r="U28" i="9"/>
  <c r="S28" i="9"/>
  <c r="U27" i="9"/>
  <c r="S27" i="9"/>
  <c r="U24" i="9"/>
  <c r="S24" i="9"/>
  <c r="U5" i="9"/>
  <c r="U25" i="9"/>
  <c r="S25" i="9"/>
  <c r="U20" i="9"/>
  <c r="S20" i="9"/>
  <c r="U14" i="9"/>
  <c r="U30" i="9"/>
  <c r="S30" i="9"/>
  <c r="U26" i="9"/>
  <c r="S26" i="9"/>
  <c r="U9" i="9"/>
  <c r="U6" i="9"/>
  <c r="U33" i="9"/>
  <c r="S33" i="9"/>
  <c r="U18" i="9"/>
  <c r="U29" i="9"/>
  <c r="S29" i="9"/>
  <c r="U16" i="9"/>
  <c r="U13" i="9"/>
  <c r="U23" i="9"/>
  <c r="S23" i="9"/>
  <c r="U21" i="9"/>
  <c r="S21" i="9"/>
  <c r="U10" i="9"/>
  <c r="U7" i="9"/>
  <c r="E11" i="7"/>
  <c r="P3" i="9"/>
  <c r="H3" i="7"/>
  <c r="F11" i="7"/>
  <c r="S3" i="9"/>
  <c r="W3" i="9"/>
  <c r="C11" i="10"/>
  <c r="C16" i="10"/>
  <c r="E37" i="12"/>
  <c r="L33" i="12"/>
  <c r="E36" i="12"/>
  <c r="V10" i="12"/>
  <c r="K10" i="12"/>
  <c r="P10" i="12"/>
  <c r="T10" i="12"/>
  <c r="Q10" i="12"/>
  <c r="N10" i="12"/>
  <c r="I10" i="12"/>
  <c r="F7" i="12"/>
  <c r="F8" i="12"/>
  <c r="M10" i="12"/>
  <c r="R10" i="12"/>
  <c r="W10" i="12"/>
  <c r="O10" i="12"/>
  <c r="U10" i="12"/>
  <c r="L10" i="12"/>
  <c r="S10" i="12"/>
  <c r="S33" i="12"/>
  <c r="Q33" i="12"/>
  <c r="W33" i="12"/>
  <c r="M33" i="12"/>
  <c r="P33" i="12"/>
  <c r="K33" i="12"/>
  <c r="I33" i="12"/>
  <c r="R33" i="12"/>
  <c r="U33" i="12"/>
  <c r="B34" i="12"/>
  <c r="E34" i="12"/>
  <c r="V33" i="12"/>
  <c r="T33" i="12"/>
  <c r="J33" i="12"/>
  <c r="O33" i="12"/>
  <c r="E37" i="1"/>
  <c r="E34" i="1"/>
  <c r="E36" i="1"/>
  <c r="F36" i="1"/>
  <c r="F7" i="1"/>
  <c r="F8" i="1"/>
  <c r="G21" i="7"/>
  <c r="G35" i="7"/>
  <c r="U16" i="7"/>
  <c r="G38" i="7"/>
  <c r="G76" i="7"/>
  <c r="G81" i="7"/>
  <c r="G88" i="7"/>
  <c r="G95" i="7"/>
  <c r="G115" i="7"/>
  <c r="G166" i="7"/>
  <c r="G172" i="7"/>
  <c r="G12" i="7"/>
  <c r="G28" i="7"/>
  <c r="G30" i="7"/>
  <c r="G54" i="7"/>
  <c r="G66" i="7"/>
  <c r="G68" i="7"/>
  <c r="G83" i="7"/>
  <c r="G103" i="7"/>
  <c r="G106" i="7"/>
  <c r="G132" i="7"/>
  <c r="G150" i="7"/>
  <c r="G157" i="7"/>
  <c r="G164" i="7"/>
  <c r="G179" i="7"/>
  <c r="G20" i="7"/>
  <c r="G25" i="7"/>
  <c r="G37" i="7"/>
  <c r="G39" i="7"/>
  <c r="G63" i="7"/>
  <c r="G74" i="7"/>
  <c r="G108" i="7"/>
  <c r="G123" i="7"/>
  <c r="G148" i="7"/>
  <c r="G155" i="7"/>
  <c r="G177" i="7"/>
  <c r="G184" i="7"/>
  <c r="G46" i="7"/>
  <c r="G61" i="7"/>
  <c r="G86" i="7"/>
  <c r="G97" i="7"/>
  <c r="G101" i="7"/>
  <c r="G104" i="7"/>
  <c r="G113" i="7"/>
  <c r="G130" i="7"/>
  <c r="G133" i="7"/>
  <c r="G135" i="7"/>
  <c r="G140" i="7"/>
  <c r="G142" i="7"/>
  <c r="G167" i="7"/>
  <c r="G175" i="7"/>
  <c r="G182" i="7"/>
  <c r="G189" i="7"/>
  <c r="G27" i="7"/>
  <c r="G32" i="7"/>
  <c r="G44" i="7"/>
  <c r="G50" i="7"/>
  <c r="G52" i="7"/>
  <c r="G71" i="7"/>
  <c r="G93" i="7"/>
  <c r="G99" i="7"/>
  <c r="G128" i="7"/>
  <c r="G146" i="7"/>
  <c r="G153" i="7"/>
  <c r="G162" i="7"/>
  <c r="G165" i="7"/>
  <c r="G170" i="7"/>
  <c r="G185" i="7"/>
  <c r="G17" i="7"/>
  <c r="G62" i="7"/>
  <c r="G64" i="7"/>
  <c r="G79" i="7"/>
  <c r="G84" i="7"/>
  <c r="G91" i="7"/>
  <c r="G94" i="7"/>
  <c r="G111" i="7"/>
  <c r="G126" i="7"/>
  <c r="G129" i="7"/>
  <c r="G168" i="7"/>
  <c r="G178" i="7"/>
  <c r="G187" i="7"/>
  <c r="G190" i="7"/>
  <c r="G11" i="7"/>
  <c r="G16" i="7"/>
  <c r="G59" i="7"/>
  <c r="G80" i="7"/>
  <c r="G82" i="7"/>
  <c r="G118" i="7"/>
  <c r="G131" i="7"/>
  <c r="G141" i="7"/>
  <c r="G143" i="7"/>
  <c r="G163" i="7"/>
  <c r="G171" i="7"/>
  <c r="G173" i="7"/>
  <c r="G180" i="7"/>
  <c r="G15" i="7"/>
  <c r="G24" i="7"/>
  <c r="G29" i="7"/>
  <c r="G31" i="7"/>
  <c r="G33" i="7"/>
  <c r="G36" i="7"/>
  <c r="G42" i="7"/>
  <c r="G45" i="7"/>
  <c r="G55" i="7"/>
  <c r="G57" i="7"/>
  <c r="G60" i="7"/>
  <c r="G69" i="7"/>
  <c r="G77" i="7"/>
  <c r="G89" i="7"/>
  <c r="G102" i="7"/>
  <c r="G109" i="7"/>
  <c r="G116" i="7"/>
  <c r="G122" i="7"/>
  <c r="G138" i="7"/>
  <c r="G144" i="7"/>
  <c r="G151" i="7"/>
  <c r="G160" i="7"/>
  <c r="G183" i="7"/>
  <c r="G188" i="7"/>
  <c r="G13" i="7"/>
  <c r="G22" i="7"/>
  <c r="G40" i="7"/>
  <c r="G47" i="7"/>
  <c r="G58" i="7"/>
  <c r="G67" i="7"/>
  <c r="G75" i="7"/>
  <c r="G78" i="7"/>
  <c r="G127" i="7"/>
  <c r="G136" i="7"/>
  <c r="G147" i="7"/>
  <c r="G149" i="7"/>
  <c r="G154" i="7"/>
  <c r="G169" i="7"/>
  <c r="G176" i="7"/>
  <c r="G18" i="7"/>
  <c r="G19" i="7"/>
  <c r="G26" i="7"/>
  <c r="G34" i="7"/>
  <c r="G48" i="7"/>
  <c r="G53" i="7"/>
  <c r="G87" i="7"/>
  <c r="G92" i="7"/>
  <c r="G100" i="7"/>
  <c r="G112" i="7"/>
  <c r="G114" i="7"/>
  <c r="G120" i="7"/>
  <c r="G124" i="7"/>
  <c r="G139" i="7"/>
  <c r="G156" i="7"/>
  <c r="G158" i="7"/>
  <c r="G161" i="7"/>
  <c r="G186" i="7"/>
  <c r="G14" i="7"/>
  <c r="G23" i="7"/>
  <c r="G43" i="7"/>
  <c r="G51" i="7"/>
  <c r="G70" i="7"/>
  <c r="G72" i="7"/>
  <c r="G73" i="7"/>
  <c r="G96" i="7"/>
  <c r="G105" i="7"/>
  <c r="G107" i="7"/>
  <c r="G117" i="7"/>
  <c r="G119" i="7"/>
  <c r="G137" i="7"/>
  <c r="G159" i="7"/>
  <c r="G174" i="7"/>
  <c r="G181" i="7"/>
  <c r="G41" i="7"/>
  <c r="G49" i="7"/>
  <c r="G56" i="7"/>
  <c r="G65" i="7"/>
  <c r="G85" i="7"/>
  <c r="G90" i="7"/>
  <c r="G98" i="7"/>
  <c r="G110" i="7"/>
  <c r="G121" i="7"/>
  <c r="G125" i="7"/>
  <c r="G134" i="7"/>
  <c r="G145" i="7"/>
  <c r="G152" i="7"/>
  <c r="D12" i="7"/>
  <c r="C22" i="10"/>
  <c r="C23" i="10"/>
  <c r="C26" i="10"/>
  <c r="F37" i="12"/>
  <c r="F36" i="12"/>
  <c r="F37" i="1"/>
  <c r="U18" i="7"/>
  <c r="U14" i="7"/>
  <c r="G372" i="7"/>
  <c r="H6" i="7"/>
  <c r="U19" i="7"/>
  <c r="U26" i="7"/>
  <c r="U15" i="7"/>
  <c r="U23" i="7"/>
  <c r="U21" i="7"/>
  <c r="U25" i="7"/>
  <c r="U22" i="7"/>
  <c r="U20" i="7"/>
  <c r="E12" i="7"/>
  <c r="U17" i="7"/>
  <c r="U27" i="7"/>
  <c r="U28" i="7"/>
  <c r="U24" i="7"/>
  <c r="H11" i="7"/>
  <c r="C25" i="10"/>
  <c r="C29" i="10"/>
  <c r="F50" i="2"/>
  <c r="E8" i="9"/>
  <c r="E12" i="9"/>
  <c r="E10" i="9"/>
  <c r="E7" i="9"/>
  <c r="E13" i="9"/>
  <c r="E11" i="9"/>
  <c r="E9" i="9"/>
  <c r="E6" i="9"/>
  <c r="E5" i="9"/>
  <c r="E4" i="9"/>
  <c r="F12" i="7"/>
  <c r="D13" i="7"/>
  <c r="H12" i="7"/>
  <c r="E13" i="7"/>
  <c r="F13" i="7"/>
  <c r="H13" i="7"/>
  <c r="D14" i="7"/>
  <c r="E14" i="7"/>
  <c r="F14" i="7"/>
  <c r="H14" i="7"/>
  <c r="D15" i="7"/>
  <c r="E15" i="7"/>
  <c r="F15" i="7"/>
  <c r="D16" i="7"/>
  <c r="E16" i="7"/>
  <c r="H15" i="7"/>
  <c r="F16" i="7"/>
  <c r="D17" i="7"/>
  <c r="E17" i="7"/>
  <c r="H16" i="7"/>
  <c r="F17" i="7"/>
  <c r="D18" i="7"/>
  <c r="E18" i="7"/>
  <c r="H17" i="7"/>
  <c r="F18" i="7"/>
  <c r="D19" i="7"/>
  <c r="E19" i="7"/>
  <c r="H18" i="7"/>
  <c r="F19" i="7"/>
  <c r="D20" i="7"/>
  <c r="E20" i="7"/>
  <c r="H19" i="7"/>
  <c r="F20" i="7"/>
  <c r="D21" i="7"/>
  <c r="E21" i="7"/>
  <c r="H20" i="7"/>
  <c r="F21" i="7"/>
  <c r="D22" i="7"/>
  <c r="E22" i="7"/>
  <c r="H21" i="7"/>
  <c r="F22" i="7"/>
  <c r="D23" i="7"/>
  <c r="T14" i="7"/>
  <c r="D18" i="2"/>
  <c r="D22" i="2"/>
  <c r="D23" i="2"/>
  <c r="D25" i="2"/>
  <c r="D26" i="2"/>
  <c r="D27" i="2"/>
  <c r="I3" i="1"/>
  <c r="D31" i="2"/>
  <c r="P4" i="9"/>
  <c r="E23" i="7"/>
  <c r="H22" i="7"/>
  <c r="V14" i="7"/>
  <c r="D39" i="2"/>
  <c r="F23" i="7"/>
  <c r="D24" i="7"/>
  <c r="I10" i="1"/>
  <c r="I33" i="1"/>
  <c r="H23" i="7"/>
  <c r="E24" i="7"/>
  <c r="F24" i="7"/>
  <c r="D25" i="7"/>
  <c r="E25" i="7"/>
  <c r="H24" i="7"/>
  <c r="F25" i="7"/>
  <c r="D26" i="7"/>
  <c r="E26" i="7"/>
  <c r="H25" i="7"/>
  <c r="F26" i="7"/>
  <c r="D27" i="7"/>
  <c r="E27" i="7"/>
  <c r="H26" i="7"/>
  <c r="F27" i="7"/>
  <c r="D28" i="7"/>
  <c r="E28" i="7"/>
  <c r="H27" i="7"/>
  <c r="F28" i="7"/>
  <c r="D29" i="7"/>
  <c r="E29" i="7"/>
  <c r="H28" i="7"/>
  <c r="F29" i="7"/>
  <c r="D30" i="7"/>
  <c r="E30" i="7"/>
  <c r="H29" i="7"/>
  <c r="F30" i="7"/>
  <c r="D31" i="7"/>
  <c r="E31" i="7"/>
  <c r="H30" i="7"/>
  <c r="F31" i="7"/>
  <c r="D32" i="7"/>
  <c r="E32" i="7"/>
  <c r="H31" i="7"/>
  <c r="F32" i="7"/>
  <c r="D33" i="7"/>
  <c r="E33" i="7"/>
  <c r="H32" i="7"/>
  <c r="F33" i="7"/>
  <c r="D34" i="7"/>
  <c r="H33" i="7"/>
  <c r="E34" i="7"/>
  <c r="F34" i="7"/>
  <c r="D35" i="7"/>
  <c r="T15" i="7"/>
  <c r="E18" i="2"/>
  <c r="E22" i="2"/>
  <c r="E23" i="2"/>
  <c r="E24" i="2"/>
  <c r="E25" i="2"/>
  <c r="P5" i="9"/>
  <c r="E35" i="7"/>
  <c r="H34" i="7"/>
  <c r="V15" i="7"/>
  <c r="E39" i="2"/>
  <c r="F35" i="7"/>
  <c r="D36" i="7"/>
  <c r="E26" i="2"/>
  <c r="E27" i="2"/>
  <c r="J3" i="1"/>
  <c r="E31" i="2"/>
  <c r="J10" i="1"/>
  <c r="J33" i="1"/>
  <c r="E36" i="7"/>
  <c r="H35" i="7"/>
  <c r="F36" i="7"/>
  <c r="D37" i="7"/>
  <c r="E37" i="7"/>
  <c r="H36" i="7"/>
  <c r="F37" i="7"/>
  <c r="D38" i="7"/>
  <c r="E38" i="7"/>
  <c r="H37" i="7"/>
  <c r="H38" i="7"/>
  <c r="F38" i="7"/>
  <c r="D39" i="7"/>
  <c r="E39" i="7"/>
  <c r="F39" i="7"/>
  <c r="D40" i="7"/>
  <c r="H39" i="7"/>
  <c r="E40" i="7"/>
  <c r="F40" i="7"/>
  <c r="D41" i="7"/>
  <c r="E41" i="7"/>
  <c r="H40" i="7"/>
  <c r="F41" i="7"/>
  <c r="D42" i="7"/>
  <c r="E42" i="7"/>
  <c r="H41" i="7"/>
  <c r="F42" i="7"/>
  <c r="D43" i="7"/>
  <c r="E43" i="7"/>
  <c r="H42" i="7"/>
  <c r="F43" i="7"/>
  <c r="D44" i="7"/>
  <c r="E44" i="7"/>
  <c r="H43" i="7"/>
  <c r="F44" i="7"/>
  <c r="D45" i="7"/>
  <c r="H44" i="7"/>
  <c r="E45" i="7"/>
  <c r="F45" i="7"/>
  <c r="D46" i="7"/>
  <c r="E46" i="7"/>
  <c r="H45" i="7"/>
  <c r="F46" i="7"/>
  <c r="D47" i="7"/>
  <c r="T16" i="7"/>
  <c r="F18" i="2"/>
  <c r="F22" i="2"/>
  <c r="F23" i="2"/>
  <c r="F24" i="2"/>
  <c r="F25" i="2"/>
  <c r="P6" i="9"/>
  <c r="E47" i="7"/>
  <c r="H46" i="7"/>
  <c r="V16" i="7"/>
  <c r="F39" i="2"/>
  <c r="F26" i="2"/>
  <c r="F47" i="7"/>
  <c r="D48" i="7"/>
  <c r="F27" i="2"/>
  <c r="K3" i="1"/>
  <c r="F31" i="2"/>
  <c r="K33" i="1"/>
  <c r="K10" i="1"/>
  <c r="H47" i="7"/>
  <c r="E48" i="7"/>
  <c r="F48" i="7"/>
  <c r="D49" i="7"/>
  <c r="H48" i="7"/>
  <c r="E49" i="7"/>
  <c r="F49" i="7"/>
  <c r="D50" i="7"/>
  <c r="E50" i="7"/>
  <c r="H49" i="7"/>
  <c r="F50" i="7"/>
  <c r="D51" i="7"/>
  <c r="E51" i="7"/>
  <c r="H50" i="7"/>
  <c r="F51" i="7"/>
  <c r="D52" i="7"/>
  <c r="H51" i="7"/>
  <c r="E52" i="7"/>
  <c r="F52" i="7"/>
  <c r="D53" i="7"/>
  <c r="E53" i="7"/>
  <c r="H52" i="7"/>
  <c r="F53" i="7"/>
  <c r="D54" i="7"/>
  <c r="E54" i="7"/>
  <c r="H53" i="7"/>
  <c r="F54" i="7"/>
  <c r="D55" i="7"/>
  <c r="H54" i="7"/>
  <c r="E55" i="7"/>
  <c r="F55" i="7"/>
  <c r="D56" i="7"/>
  <c r="H55" i="7"/>
  <c r="E56" i="7"/>
  <c r="F56" i="7"/>
  <c r="D57" i="7"/>
  <c r="E57" i="7"/>
  <c r="H56" i="7"/>
  <c r="F57" i="7"/>
  <c r="D58" i="7"/>
  <c r="H57" i="7"/>
  <c r="E58" i="7"/>
  <c r="F58" i="7"/>
  <c r="D59" i="7"/>
  <c r="T17" i="7"/>
  <c r="G18" i="2"/>
  <c r="G22" i="2"/>
  <c r="G23" i="2"/>
  <c r="G24" i="2"/>
  <c r="G25" i="2"/>
  <c r="P7" i="9"/>
  <c r="E59" i="7"/>
  <c r="H58" i="7"/>
  <c r="V17" i="7"/>
  <c r="G39" i="2"/>
  <c r="F59" i="7"/>
  <c r="D60" i="7"/>
  <c r="G26" i="2"/>
  <c r="G31" i="2"/>
  <c r="G27" i="2"/>
  <c r="L3" i="1"/>
  <c r="L33" i="1"/>
  <c r="L10" i="1"/>
  <c r="H59" i="7"/>
  <c r="E60" i="7"/>
  <c r="F60" i="7"/>
  <c r="D61" i="7"/>
  <c r="E61" i="7"/>
  <c r="H60" i="7"/>
  <c r="F61" i="7"/>
  <c r="D62" i="7"/>
  <c r="E62" i="7"/>
  <c r="H61" i="7"/>
  <c r="F62" i="7"/>
  <c r="D63" i="7"/>
  <c r="H62" i="7"/>
  <c r="E63" i="7"/>
  <c r="F63" i="7"/>
  <c r="D64" i="7"/>
  <c r="E64" i="7"/>
  <c r="H63" i="7"/>
  <c r="F64" i="7"/>
  <c r="D65" i="7"/>
  <c r="H64" i="7"/>
  <c r="E65" i="7"/>
  <c r="F65" i="7"/>
  <c r="D66" i="7"/>
  <c r="E66" i="7"/>
  <c r="H65" i="7"/>
  <c r="F66" i="7"/>
  <c r="D67" i="7"/>
  <c r="E67" i="7"/>
  <c r="H66" i="7"/>
  <c r="F67" i="7"/>
  <c r="D68" i="7"/>
  <c r="E68" i="7"/>
  <c r="H67" i="7"/>
  <c r="F68" i="7"/>
  <c r="D69" i="7"/>
  <c r="E69" i="7"/>
  <c r="H68" i="7"/>
  <c r="F69" i="7"/>
  <c r="D70" i="7"/>
  <c r="H69" i="7"/>
  <c r="E70" i="7"/>
  <c r="F70" i="7"/>
  <c r="D71" i="7"/>
  <c r="T18" i="7"/>
  <c r="H18" i="2"/>
  <c r="H22" i="2"/>
  <c r="H23" i="2"/>
  <c r="H24" i="2"/>
  <c r="H25" i="2"/>
  <c r="P8" i="9"/>
  <c r="E71" i="7"/>
  <c r="H70" i="7"/>
  <c r="V18" i="7"/>
  <c r="H39" i="2"/>
  <c r="F71" i="7"/>
  <c r="D72" i="7"/>
  <c r="H71" i="7"/>
  <c r="H27" i="2"/>
  <c r="M3" i="1"/>
  <c r="H31" i="2"/>
  <c r="H26" i="2"/>
  <c r="M10" i="1"/>
  <c r="M33" i="1"/>
  <c r="E72" i="7"/>
  <c r="H72" i="7"/>
  <c r="F72" i="7"/>
  <c r="D73" i="7"/>
  <c r="E73" i="7"/>
  <c r="F73" i="7"/>
  <c r="D74" i="7"/>
  <c r="E74" i="7"/>
  <c r="H73" i="7"/>
  <c r="F74" i="7"/>
  <c r="D75" i="7"/>
  <c r="H74" i="7"/>
  <c r="E75" i="7"/>
  <c r="F75" i="7"/>
  <c r="D76" i="7"/>
  <c r="E76" i="7"/>
  <c r="H75" i="7"/>
  <c r="F76" i="7"/>
  <c r="D77" i="7"/>
  <c r="E77" i="7"/>
  <c r="H76" i="7"/>
  <c r="F77" i="7"/>
  <c r="D78" i="7"/>
  <c r="H77" i="7"/>
  <c r="E78" i="7"/>
  <c r="F78" i="7"/>
  <c r="D79" i="7"/>
  <c r="E79" i="7"/>
  <c r="H78" i="7"/>
  <c r="F79" i="7"/>
  <c r="D80" i="7"/>
  <c r="E80" i="7"/>
  <c r="H79" i="7"/>
  <c r="F80" i="7"/>
  <c r="D81" i="7"/>
  <c r="E81" i="7"/>
  <c r="H80" i="7"/>
  <c r="F81" i="7"/>
  <c r="D82" i="7"/>
  <c r="E82" i="7"/>
  <c r="H81" i="7"/>
  <c r="F82" i="7"/>
  <c r="D83" i="7"/>
  <c r="T19" i="7"/>
  <c r="I18" i="2"/>
  <c r="I22" i="2"/>
  <c r="I23" i="2"/>
  <c r="I24" i="2"/>
  <c r="I25" i="2"/>
  <c r="P9" i="9"/>
  <c r="E83" i="7"/>
  <c r="H82" i="7"/>
  <c r="V19" i="7"/>
  <c r="I39" i="2"/>
  <c r="F83" i="7"/>
  <c r="D84" i="7"/>
  <c r="I27" i="2"/>
  <c r="N3" i="1"/>
  <c r="I31" i="2"/>
  <c r="I26" i="2"/>
  <c r="N10" i="1"/>
  <c r="N33" i="1"/>
  <c r="E84" i="7"/>
  <c r="H83" i="7"/>
  <c r="F84" i="7"/>
  <c r="D85" i="7"/>
  <c r="E85" i="7"/>
  <c r="H84" i="7"/>
  <c r="F85" i="7"/>
  <c r="D86" i="7"/>
  <c r="H85" i="7"/>
  <c r="E86" i="7"/>
  <c r="F86" i="7"/>
  <c r="D87" i="7"/>
  <c r="H86" i="7"/>
  <c r="E87" i="7"/>
  <c r="F87" i="7"/>
  <c r="D88" i="7"/>
  <c r="E88" i="7"/>
  <c r="H87" i="7"/>
  <c r="F88" i="7"/>
  <c r="D89" i="7"/>
  <c r="E89" i="7"/>
  <c r="H88" i="7"/>
  <c r="F89" i="7"/>
  <c r="D90" i="7"/>
  <c r="E90" i="7"/>
  <c r="H89" i="7"/>
  <c r="F90" i="7"/>
  <c r="D91" i="7"/>
  <c r="H90" i="7"/>
  <c r="E91" i="7"/>
  <c r="F91" i="7"/>
  <c r="D92" i="7"/>
  <c r="H91" i="7"/>
  <c r="E92" i="7"/>
  <c r="F92" i="7"/>
  <c r="D93" i="7"/>
  <c r="E93" i="7"/>
  <c r="H92" i="7"/>
  <c r="F93" i="7"/>
  <c r="D94" i="7"/>
  <c r="E94" i="7"/>
  <c r="H93" i="7"/>
  <c r="F94" i="7"/>
  <c r="D95" i="7"/>
  <c r="H94" i="7"/>
  <c r="V20" i="7"/>
  <c r="J39" i="2"/>
  <c r="T20" i="7"/>
  <c r="J18" i="2"/>
  <c r="J22" i="2"/>
  <c r="J23" i="2"/>
  <c r="J24" i="2"/>
  <c r="J25" i="2"/>
  <c r="P10" i="9"/>
  <c r="E95" i="7"/>
  <c r="F95" i="7"/>
  <c r="D96" i="7"/>
  <c r="J31" i="2"/>
  <c r="J27" i="2"/>
  <c r="O3" i="1"/>
  <c r="J26" i="2"/>
  <c r="O10" i="1"/>
  <c r="O33" i="1"/>
  <c r="H95" i="7"/>
  <c r="E96" i="7"/>
  <c r="F96" i="7"/>
  <c r="D97" i="7"/>
  <c r="H96" i="7"/>
  <c r="E97" i="7"/>
  <c r="F97" i="7"/>
  <c r="D98" i="7"/>
  <c r="E98" i="7"/>
  <c r="H97" i="7"/>
  <c r="F98" i="7"/>
  <c r="D99" i="7"/>
  <c r="E99" i="7"/>
  <c r="H98" i="7"/>
  <c r="F99" i="7"/>
  <c r="D100" i="7"/>
  <c r="H99" i="7"/>
  <c r="E100" i="7"/>
  <c r="F100" i="7"/>
  <c r="D101" i="7"/>
  <c r="E101" i="7"/>
  <c r="H100" i="7"/>
  <c r="F101" i="7"/>
  <c r="D102" i="7"/>
  <c r="H101" i="7"/>
  <c r="E102" i="7"/>
  <c r="F102" i="7"/>
  <c r="D103" i="7"/>
  <c r="E103" i="7"/>
  <c r="H102" i="7"/>
  <c r="F103" i="7"/>
  <c r="D104" i="7"/>
  <c r="E104" i="7"/>
  <c r="H103" i="7"/>
  <c r="F104" i="7"/>
  <c r="D105" i="7"/>
  <c r="E105" i="7"/>
  <c r="H104" i="7"/>
  <c r="F105" i="7"/>
  <c r="D106" i="7"/>
  <c r="H105" i="7"/>
  <c r="E106" i="7"/>
  <c r="F106" i="7"/>
  <c r="D107" i="7"/>
  <c r="T21" i="7"/>
  <c r="K18" i="2"/>
  <c r="K22" i="2"/>
  <c r="K23" i="2"/>
  <c r="K24" i="2"/>
  <c r="K25" i="2"/>
  <c r="P11" i="9"/>
  <c r="E107" i="7"/>
  <c r="H106" i="7"/>
  <c r="V21" i="7"/>
  <c r="K39" i="2"/>
  <c r="K26" i="2"/>
  <c r="F107" i="7"/>
  <c r="D108" i="7"/>
  <c r="K31" i="2"/>
  <c r="K27" i="2"/>
  <c r="P3" i="1"/>
  <c r="E108" i="7"/>
  <c r="P10" i="1"/>
  <c r="P33" i="1"/>
  <c r="H107" i="7"/>
  <c r="H108" i="7"/>
  <c r="F108" i="7"/>
  <c r="D109" i="7"/>
  <c r="E109" i="7"/>
  <c r="F109" i="7"/>
  <c r="D110" i="7"/>
  <c r="E110" i="7"/>
  <c r="H109" i="7"/>
  <c r="F110" i="7"/>
  <c r="D111" i="7"/>
  <c r="E111" i="7"/>
  <c r="H110" i="7"/>
  <c r="F111" i="7"/>
  <c r="D112" i="7"/>
  <c r="E112" i="7"/>
  <c r="H111" i="7"/>
  <c r="F112" i="7"/>
  <c r="D113" i="7"/>
  <c r="E113" i="7"/>
  <c r="H112" i="7"/>
  <c r="F113" i="7"/>
  <c r="D114" i="7"/>
  <c r="E114" i="7"/>
  <c r="H113" i="7"/>
  <c r="F114" i="7"/>
  <c r="D115" i="7"/>
  <c r="E115" i="7"/>
  <c r="H114" i="7"/>
  <c r="F115" i="7"/>
  <c r="D116" i="7"/>
  <c r="H115" i="7"/>
  <c r="E116" i="7"/>
  <c r="F116" i="7"/>
  <c r="D117" i="7"/>
  <c r="H116" i="7"/>
  <c r="E117" i="7"/>
  <c r="F117" i="7"/>
  <c r="D118" i="7"/>
  <c r="H117" i="7"/>
  <c r="E118" i="7"/>
  <c r="F118" i="7"/>
  <c r="D119" i="7"/>
  <c r="H118" i="7"/>
  <c r="V22" i="7"/>
  <c r="L39" i="2"/>
  <c r="T22" i="7"/>
  <c r="L18" i="2"/>
  <c r="L22" i="2"/>
  <c r="L23" i="2"/>
  <c r="L24" i="2"/>
  <c r="L25" i="2"/>
  <c r="L26" i="2"/>
  <c r="P12" i="9"/>
  <c r="F49" i="2"/>
  <c r="U12" i="9"/>
  <c r="E119" i="7"/>
  <c r="F119" i="7"/>
  <c r="D120" i="7"/>
  <c r="H119" i="7"/>
  <c r="L27" i="2"/>
  <c r="Q3" i="1"/>
  <c r="L31" i="2"/>
  <c r="Q10" i="1"/>
  <c r="Q33" i="1"/>
  <c r="E120" i="7"/>
  <c r="F120" i="7"/>
  <c r="D121" i="7"/>
  <c r="H120" i="7"/>
  <c r="E121" i="7"/>
  <c r="F121" i="7"/>
  <c r="D122" i="7"/>
  <c r="H121" i="7"/>
  <c r="E122" i="7"/>
  <c r="F122" i="7"/>
  <c r="D123" i="7"/>
  <c r="E123" i="7"/>
  <c r="H122" i="7"/>
  <c r="F123" i="7"/>
  <c r="D124" i="7"/>
  <c r="E124" i="7"/>
  <c r="H123" i="7"/>
  <c r="F124" i="7"/>
  <c r="D125" i="7"/>
  <c r="H124" i="7"/>
  <c r="E125" i="7"/>
  <c r="F125" i="7"/>
  <c r="D126" i="7"/>
  <c r="E126" i="7"/>
  <c r="H125" i="7"/>
  <c r="F126" i="7"/>
  <c r="D127" i="7"/>
  <c r="E127" i="7"/>
  <c r="H126" i="7"/>
  <c r="F127" i="7"/>
  <c r="D128" i="7"/>
  <c r="E128" i="7"/>
  <c r="H127" i="7"/>
  <c r="F128" i="7"/>
  <c r="D129" i="7"/>
  <c r="E129" i="7"/>
  <c r="H128" i="7"/>
  <c r="F129" i="7"/>
  <c r="D130" i="7"/>
  <c r="E130" i="7"/>
  <c r="H129" i="7"/>
  <c r="F130" i="7"/>
  <c r="D131" i="7"/>
  <c r="T23" i="7"/>
  <c r="M18" i="2"/>
  <c r="M22" i="2"/>
  <c r="M23" i="2"/>
  <c r="M24" i="2"/>
  <c r="M25" i="2"/>
  <c r="E131" i="7"/>
  <c r="P13" i="9"/>
  <c r="H130" i="7"/>
  <c r="V23" i="7"/>
  <c r="M39" i="2"/>
  <c r="F131" i="7"/>
  <c r="D132" i="7"/>
  <c r="H131" i="7"/>
  <c r="M26" i="2"/>
  <c r="M31" i="2"/>
  <c r="M27" i="2"/>
  <c r="R3" i="1"/>
  <c r="R33" i="1"/>
  <c r="R10" i="1"/>
  <c r="E132" i="7"/>
  <c r="F132" i="7"/>
  <c r="D133" i="7"/>
  <c r="H132" i="7"/>
  <c r="E133" i="7"/>
  <c r="F133" i="7"/>
  <c r="D134" i="7"/>
  <c r="H133" i="7"/>
  <c r="E134" i="7"/>
  <c r="F134" i="7"/>
  <c r="D135" i="7"/>
  <c r="H134" i="7"/>
  <c r="E135" i="7"/>
  <c r="F135" i="7"/>
  <c r="D136" i="7"/>
  <c r="E136" i="7"/>
  <c r="H135" i="7"/>
  <c r="F136" i="7"/>
  <c r="D137" i="7"/>
  <c r="H136" i="7"/>
  <c r="E137" i="7"/>
  <c r="F137" i="7"/>
  <c r="D138" i="7"/>
  <c r="H137" i="7"/>
  <c r="E138" i="7"/>
  <c r="F138" i="7"/>
  <c r="D139" i="7"/>
  <c r="E139" i="7"/>
  <c r="H138" i="7"/>
  <c r="F139" i="7"/>
  <c r="D140" i="7"/>
  <c r="H139" i="7"/>
  <c r="E140" i="7"/>
  <c r="F140" i="7"/>
  <c r="D141" i="7"/>
  <c r="E141" i="7"/>
  <c r="H140" i="7"/>
  <c r="F141" i="7"/>
  <c r="D142" i="7"/>
  <c r="E142" i="7"/>
  <c r="H141" i="7"/>
  <c r="F142" i="7"/>
  <c r="D143" i="7"/>
  <c r="T24" i="7"/>
  <c r="N18" i="2"/>
  <c r="N22" i="2"/>
  <c r="N23" i="2"/>
  <c r="N26" i="2"/>
  <c r="N24" i="2"/>
  <c r="N25" i="2"/>
  <c r="H142" i="7"/>
  <c r="V24" i="7"/>
  <c r="N39" i="2"/>
  <c r="P14" i="9"/>
  <c r="E143" i="7"/>
  <c r="F143" i="7"/>
  <c r="D144" i="7"/>
  <c r="H143" i="7"/>
  <c r="N27" i="2"/>
  <c r="S3" i="1"/>
  <c r="N31" i="2"/>
  <c r="S33" i="1"/>
  <c r="S10" i="1"/>
  <c r="E144" i="7"/>
  <c r="F144" i="7"/>
  <c r="D145" i="7"/>
  <c r="H144" i="7"/>
  <c r="E145" i="7"/>
  <c r="F145" i="7"/>
  <c r="D146" i="7"/>
  <c r="H145" i="7"/>
  <c r="E146" i="7"/>
  <c r="F146" i="7"/>
  <c r="D147" i="7"/>
  <c r="E147" i="7"/>
  <c r="H146" i="7"/>
  <c r="F147" i="7"/>
  <c r="D148" i="7"/>
  <c r="E148" i="7"/>
  <c r="H147" i="7"/>
  <c r="F148" i="7"/>
  <c r="D149" i="7"/>
  <c r="H148" i="7"/>
  <c r="E149" i="7"/>
  <c r="F149" i="7"/>
  <c r="D150" i="7"/>
  <c r="H149" i="7"/>
  <c r="E150" i="7"/>
  <c r="F150" i="7"/>
  <c r="D151" i="7"/>
  <c r="E151" i="7"/>
  <c r="H150" i="7"/>
  <c r="F151" i="7"/>
  <c r="D152" i="7"/>
  <c r="H151" i="7"/>
  <c r="E152" i="7"/>
  <c r="F152" i="7"/>
  <c r="D153" i="7"/>
  <c r="H152" i="7"/>
  <c r="E153" i="7"/>
  <c r="F153" i="7"/>
  <c r="D154" i="7"/>
  <c r="H153" i="7"/>
  <c r="E154" i="7"/>
  <c r="F154" i="7"/>
  <c r="D155" i="7"/>
  <c r="H154" i="7"/>
  <c r="V25" i="7"/>
  <c r="O39" i="2"/>
  <c r="T25" i="7"/>
  <c r="O18" i="2"/>
  <c r="O22" i="2"/>
  <c r="O23" i="2"/>
  <c r="O24" i="2"/>
  <c r="O25" i="2"/>
  <c r="O26" i="2"/>
  <c r="E155" i="7"/>
  <c r="P15" i="9"/>
  <c r="F155" i="7"/>
  <c r="D156" i="7"/>
  <c r="H155" i="7"/>
  <c r="O31" i="2"/>
  <c r="O27" i="2"/>
  <c r="T3" i="1"/>
  <c r="T33" i="1"/>
  <c r="T10" i="1"/>
  <c r="E156" i="7"/>
  <c r="F156" i="7"/>
  <c r="D157" i="7"/>
  <c r="H156" i="7"/>
  <c r="E157" i="7"/>
  <c r="F157" i="7"/>
  <c r="D158" i="7"/>
  <c r="H157" i="7"/>
  <c r="E158" i="7"/>
  <c r="F158" i="7"/>
  <c r="D159" i="7"/>
  <c r="H158" i="7"/>
  <c r="E159" i="7"/>
  <c r="F159" i="7"/>
  <c r="D160" i="7"/>
  <c r="H159" i="7"/>
  <c r="E160" i="7"/>
  <c r="F160" i="7"/>
  <c r="D161" i="7"/>
  <c r="H160" i="7"/>
  <c r="E161" i="7"/>
  <c r="F161" i="7"/>
  <c r="D162" i="7"/>
  <c r="E162" i="7"/>
  <c r="H161" i="7"/>
  <c r="F162" i="7"/>
  <c r="D163" i="7"/>
  <c r="E163" i="7"/>
  <c r="H162" i="7"/>
  <c r="F163" i="7"/>
  <c r="D164" i="7"/>
  <c r="E164" i="7"/>
  <c r="H163" i="7"/>
  <c r="F164" i="7"/>
  <c r="D165" i="7"/>
  <c r="E165" i="7"/>
  <c r="H164" i="7"/>
  <c r="F165" i="7"/>
  <c r="D166" i="7"/>
  <c r="H165" i="7"/>
  <c r="E166" i="7"/>
  <c r="F166" i="7"/>
  <c r="D167" i="7"/>
  <c r="T26" i="7"/>
  <c r="P18" i="2"/>
  <c r="P22" i="2"/>
  <c r="P23" i="2"/>
  <c r="P26" i="2"/>
  <c r="P24" i="2"/>
  <c r="P25" i="2"/>
  <c r="P16" i="9"/>
  <c r="E167" i="7"/>
  <c r="H166" i="7"/>
  <c r="V26" i="7"/>
  <c r="P39" i="2"/>
  <c r="F167" i="7"/>
  <c r="D168" i="7"/>
  <c r="P31" i="2"/>
  <c r="P27" i="2"/>
  <c r="U3" i="1"/>
  <c r="U33" i="1"/>
  <c r="U10" i="1"/>
  <c r="E168" i="7"/>
  <c r="H167" i="7"/>
  <c r="F168" i="7"/>
  <c r="D169" i="7"/>
  <c r="H168" i="7"/>
  <c r="E169" i="7"/>
  <c r="F169" i="7"/>
  <c r="D170" i="7"/>
  <c r="E170" i="7"/>
  <c r="H169" i="7"/>
  <c r="F170" i="7"/>
  <c r="D171" i="7"/>
  <c r="E171" i="7"/>
  <c r="H170" i="7"/>
  <c r="F171" i="7"/>
  <c r="D172" i="7"/>
  <c r="H171" i="7"/>
  <c r="E172" i="7"/>
  <c r="F172" i="7"/>
  <c r="D173" i="7"/>
  <c r="H172" i="7"/>
  <c r="E173" i="7"/>
  <c r="F173" i="7"/>
  <c r="D174" i="7"/>
  <c r="H173" i="7"/>
  <c r="E174" i="7"/>
  <c r="F174" i="7"/>
  <c r="D175" i="7"/>
  <c r="E175" i="7"/>
  <c r="H174" i="7"/>
  <c r="F175" i="7"/>
  <c r="D176" i="7"/>
  <c r="H175" i="7"/>
  <c r="E176" i="7"/>
  <c r="F176" i="7"/>
  <c r="D177" i="7"/>
  <c r="E177" i="7"/>
  <c r="H176" i="7"/>
  <c r="F177" i="7"/>
  <c r="D178" i="7"/>
  <c r="H177" i="7"/>
  <c r="E178" i="7"/>
  <c r="F178" i="7"/>
  <c r="D179" i="7"/>
  <c r="H178" i="7"/>
  <c r="V27" i="7"/>
  <c r="Q39" i="2"/>
  <c r="T27" i="7"/>
  <c r="Q18" i="2"/>
  <c r="Q22" i="2"/>
  <c r="Q23" i="2"/>
  <c r="Q24" i="2"/>
  <c r="Q25" i="2"/>
  <c r="Q26" i="2"/>
  <c r="E179" i="7"/>
  <c r="P17" i="9"/>
  <c r="F179" i="7"/>
  <c r="D180" i="7"/>
  <c r="H179" i="7"/>
  <c r="Q31" i="2"/>
  <c r="Q27" i="2"/>
  <c r="V3" i="1"/>
  <c r="V10" i="1"/>
  <c r="V33" i="1"/>
  <c r="E180" i="7"/>
  <c r="F180" i="7"/>
  <c r="D181" i="7"/>
  <c r="H180" i="7"/>
  <c r="E181" i="7"/>
  <c r="F181" i="7"/>
  <c r="D182" i="7"/>
  <c r="H181" i="7"/>
  <c r="E182" i="7"/>
  <c r="F182" i="7"/>
  <c r="D183" i="7"/>
  <c r="H182" i="7"/>
  <c r="E183" i="7"/>
  <c r="F183" i="7"/>
  <c r="D184" i="7"/>
  <c r="H183" i="7"/>
  <c r="E184" i="7"/>
  <c r="F184" i="7"/>
  <c r="D185" i="7"/>
  <c r="E185" i="7"/>
  <c r="H184" i="7"/>
  <c r="F185" i="7"/>
  <c r="D186" i="7"/>
  <c r="E186" i="7"/>
  <c r="H185" i="7"/>
  <c r="F186" i="7"/>
  <c r="D187" i="7"/>
  <c r="E187" i="7"/>
  <c r="H186" i="7"/>
  <c r="F187" i="7"/>
  <c r="D188" i="7"/>
  <c r="H187" i="7"/>
  <c r="E188" i="7"/>
  <c r="F188" i="7"/>
  <c r="D189" i="7"/>
  <c r="E189" i="7"/>
  <c r="H188" i="7"/>
  <c r="F189" i="7"/>
  <c r="D190" i="7"/>
  <c r="H189" i="7"/>
  <c r="E190" i="7"/>
  <c r="F190" i="7"/>
  <c r="F372" i="7"/>
  <c r="H7" i="7"/>
  <c r="L7" i="7"/>
  <c r="H190" i="7"/>
  <c r="E372" i="7"/>
  <c r="H5" i="7"/>
  <c r="H4" i="7"/>
  <c r="T28" i="7"/>
  <c r="R18" i="2"/>
  <c r="R22" i="2"/>
  <c r="R23" i="2"/>
  <c r="R24" i="2"/>
  <c r="R25" i="2"/>
  <c r="H372" i="7"/>
  <c r="V28" i="7"/>
  <c r="R39" i="2"/>
  <c r="R31" i="2"/>
  <c r="R27" i="2"/>
  <c r="W3" i="1"/>
  <c r="R26" i="2"/>
  <c r="W10" i="1"/>
  <c r="W33" i="1"/>
  <c r="J4" i="1"/>
  <c r="J4" i="12"/>
  <c r="Q36" i="12"/>
  <c r="V36" i="12"/>
  <c r="K36" i="12"/>
  <c r="C27" i="12"/>
  <c r="I36" i="12"/>
  <c r="T36" i="12"/>
  <c r="R36" i="12"/>
  <c r="N36" i="12"/>
  <c r="O36" i="12"/>
  <c r="W36" i="12"/>
  <c r="C26" i="12"/>
  <c r="E26" i="12"/>
  <c r="L36" i="12"/>
  <c r="P36" i="12"/>
  <c r="B27" i="12"/>
  <c r="B26" i="12"/>
  <c r="U36" i="12"/>
  <c r="J36" i="12"/>
  <c r="B28" i="12"/>
  <c r="C25" i="12"/>
  <c r="M36" i="12"/>
  <c r="S36" i="12"/>
  <c r="C28" i="12"/>
  <c r="I16" i="12"/>
  <c r="I16" i="1"/>
  <c r="V36" i="1"/>
  <c r="R36" i="1"/>
  <c r="C26" i="1"/>
  <c r="P36" i="1"/>
  <c r="N36" i="1"/>
  <c r="L36" i="1"/>
  <c r="W36" i="1"/>
  <c r="C25" i="1"/>
  <c r="B27" i="1"/>
  <c r="B26" i="1"/>
  <c r="I36" i="1"/>
  <c r="T36" i="1"/>
  <c r="Q36" i="1"/>
  <c r="M36" i="1"/>
  <c r="O36" i="1"/>
  <c r="J36" i="1"/>
  <c r="U36" i="1"/>
  <c r="B28" i="1"/>
  <c r="S36" i="1"/>
  <c r="C28" i="1"/>
  <c r="K36" i="1"/>
  <c r="C27" i="1"/>
  <c r="E27" i="12"/>
  <c r="W11" i="12"/>
  <c r="T11" i="12"/>
  <c r="J11" i="12"/>
  <c r="U34" i="12"/>
  <c r="T34" i="12"/>
  <c r="I11" i="12"/>
  <c r="J34" i="12"/>
  <c r="S11" i="12"/>
  <c r="L11" i="12"/>
  <c r="L20" i="12"/>
  <c r="L21" i="12"/>
  <c r="L22" i="12"/>
  <c r="G33" i="2"/>
  <c r="O34" i="12"/>
  <c r="W34" i="12"/>
  <c r="V11" i="12"/>
  <c r="P11" i="12"/>
  <c r="Q11" i="12"/>
  <c r="M11" i="12"/>
  <c r="N34" i="12"/>
  <c r="S34" i="12"/>
  <c r="P34" i="12"/>
  <c r="K11" i="12"/>
  <c r="V34" i="12"/>
  <c r="U11" i="12"/>
  <c r="I34" i="12"/>
  <c r="I39" i="12"/>
  <c r="I40" i="12"/>
  <c r="I41" i="12"/>
  <c r="M34" i="12"/>
  <c r="R11" i="12"/>
  <c r="N11" i="12"/>
  <c r="L34" i="12"/>
  <c r="O11" i="12"/>
  <c r="E28" i="12"/>
  <c r="R34" i="12"/>
  <c r="K34" i="12"/>
  <c r="Q34" i="12"/>
  <c r="O37" i="1"/>
  <c r="Q37" i="1"/>
  <c r="U37" i="1"/>
  <c r="W37" i="1"/>
  <c r="I37" i="1"/>
  <c r="N37" i="1"/>
  <c r="L37" i="1"/>
  <c r="T37" i="1"/>
  <c r="R37" i="1"/>
  <c r="M37" i="1"/>
  <c r="S37" i="1"/>
  <c r="K37" i="1"/>
  <c r="P37" i="1"/>
  <c r="V37" i="1"/>
  <c r="J37" i="1"/>
  <c r="E27" i="1"/>
  <c r="K17" i="12"/>
  <c r="U17" i="12"/>
  <c r="J17" i="12"/>
  <c r="P17" i="12"/>
  <c r="L17" i="12"/>
  <c r="M17" i="12"/>
  <c r="T17" i="12"/>
  <c r="R17" i="12"/>
  <c r="S17" i="12"/>
  <c r="Q17" i="12"/>
  <c r="W17" i="12"/>
  <c r="N17" i="12"/>
  <c r="I17" i="12"/>
  <c r="V17" i="12"/>
  <c r="O17" i="12"/>
  <c r="J16" i="12"/>
  <c r="K16" i="12"/>
  <c r="L16" i="12"/>
  <c r="M16" i="12"/>
  <c r="N16" i="12"/>
  <c r="O16" i="12"/>
  <c r="P16" i="12"/>
  <c r="Q16" i="12"/>
  <c r="R16" i="12"/>
  <c r="S16" i="12"/>
  <c r="T16" i="12"/>
  <c r="U16" i="12"/>
  <c r="V16" i="12"/>
  <c r="W16" i="12"/>
  <c r="W37" i="12"/>
  <c r="U37" i="12"/>
  <c r="M37" i="12"/>
  <c r="N37" i="12"/>
  <c r="L37" i="12"/>
  <c r="P37" i="12"/>
  <c r="V37" i="12"/>
  <c r="K37" i="12"/>
  <c r="T37" i="12"/>
  <c r="S37" i="12"/>
  <c r="I37" i="12"/>
  <c r="Q37" i="12"/>
  <c r="J37" i="12"/>
  <c r="R37" i="12"/>
  <c r="O37" i="12"/>
  <c r="J34" i="1"/>
  <c r="E28" i="1"/>
  <c r="P34" i="1"/>
  <c r="P39" i="1"/>
  <c r="P40" i="1"/>
  <c r="P41" i="1"/>
  <c r="N11" i="1"/>
  <c r="N20" i="1"/>
  <c r="N21" i="1"/>
  <c r="N22" i="1"/>
  <c r="I29" i="2"/>
  <c r="U11" i="1"/>
  <c r="L34" i="1"/>
  <c r="L39" i="1"/>
  <c r="L40" i="1"/>
  <c r="L41" i="1"/>
  <c r="M34" i="1"/>
  <c r="K11" i="1"/>
  <c r="L11" i="1"/>
  <c r="M11" i="1"/>
  <c r="J11" i="1"/>
  <c r="I11" i="1"/>
  <c r="T11" i="1"/>
  <c r="I34" i="1"/>
  <c r="K34" i="1"/>
  <c r="K39" i="1"/>
  <c r="K40" i="1"/>
  <c r="K41" i="1"/>
  <c r="Q11" i="1"/>
  <c r="Q20" i="1"/>
  <c r="Q21" i="1"/>
  <c r="Q22" i="1"/>
  <c r="L29" i="2"/>
  <c r="F27" i="12"/>
  <c r="F28" i="12"/>
  <c r="M17" i="1"/>
  <c r="U17" i="1"/>
  <c r="J16" i="1"/>
  <c r="K16" i="1"/>
  <c r="L16" i="1"/>
  <c r="M16" i="1"/>
  <c r="N16" i="1"/>
  <c r="O16" i="1"/>
  <c r="P16" i="1"/>
  <c r="Q16" i="1"/>
  <c r="R16" i="1"/>
  <c r="S16" i="1"/>
  <c r="T16" i="1"/>
  <c r="U16" i="1"/>
  <c r="V16" i="1"/>
  <c r="W16" i="1"/>
  <c r="W17" i="1"/>
  <c r="L17" i="1"/>
  <c r="R17" i="1"/>
  <c r="N17" i="1"/>
  <c r="V17" i="1"/>
  <c r="S17" i="1"/>
  <c r="T17" i="1"/>
  <c r="O17" i="1"/>
  <c r="J17" i="1"/>
  <c r="K17" i="1"/>
  <c r="P17" i="1"/>
  <c r="Q17" i="1"/>
  <c r="I17" i="1"/>
  <c r="E26" i="1"/>
  <c r="W34" i="1"/>
  <c r="F27" i="1"/>
  <c r="M39" i="12"/>
  <c r="M40" i="12"/>
  <c r="M41" i="12"/>
  <c r="W39" i="12"/>
  <c r="W40" i="12"/>
  <c r="W41" i="12"/>
  <c r="I20" i="1"/>
  <c r="I21" i="1"/>
  <c r="I22" i="1"/>
  <c r="D29" i="2"/>
  <c r="U20" i="12"/>
  <c r="U21" i="12"/>
  <c r="U22" i="12"/>
  <c r="P33" i="2"/>
  <c r="K20" i="1"/>
  <c r="K21" i="1"/>
  <c r="K22" i="1"/>
  <c r="F29" i="2"/>
  <c r="R20" i="12"/>
  <c r="R21" i="12"/>
  <c r="R22" i="12"/>
  <c r="M33" i="2"/>
  <c r="V20" i="12"/>
  <c r="V21" i="12"/>
  <c r="V22" i="12"/>
  <c r="Q33" i="2"/>
  <c r="U20" i="1"/>
  <c r="U21" i="1"/>
  <c r="U22" i="1"/>
  <c r="P29" i="2"/>
  <c r="P30" i="2"/>
  <c r="P32" i="2"/>
  <c r="P40" i="2"/>
  <c r="V39" i="12"/>
  <c r="V40" i="12"/>
  <c r="V41" i="12"/>
  <c r="J39" i="1"/>
  <c r="J40" i="1"/>
  <c r="J41" i="1"/>
  <c r="M20" i="1"/>
  <c r="M21" i="1"/>
  <c r="M22" i="1"/>
  <c r="H29" i="2"/>
  <c r="W39" i="1"/>
  <c r="W40" i="1"/>
  <c r="W41" i="1"/>
  <c r="L20" i="1"/>
  <c r="L21" i="1"/>
  <c r="L22" i="1"/>
  <c r="G29" i="2"/>
  <c r="M39" i="1"/>
  <c r="M40" i="1"/>
  <c r="M41" i="1"/>
  <c r="P11" i="1"/>
  <c r="P20" i="1"/>
  <c r="P21" i="1"/>
  <c r="P22" i="1"/>
  <c r="K29" i="2"/>
  <c r="U34" i="1"/>
  <c r="U39" i="1"/>
  <c r="U40" i="1"/>
  <c r="U41" i="1"/>
  <c r="O11" i="1"/>
  <c r="O20" i="1"/>
  <c r="O21" i="1"/>
  <c r="O22" i="1"/>
  <c r="J29" i="2"/>
  <c r="O39" i="12"/>
  <c r="O40" i="12"/>
  <c r="O41" i="12"/>
  <c r="Q39" i="12"/>
  <c r="Q40" i="12"/>
  <c r="Q41" i="12"/>
  <c r="K20" i="12"/>
  <c r="K21" i="12"/>
  <c r="K22" i="12"/>
  <c r="F33" i="2"/>
  <c r="J39" i="12"/>
  <c r="J40" i="12"/>
  <c r="J41" i="12"/>
  <c r="T34" i="1"/>
  <c r="T39" i="1"/>
  <c r="T40" i="1"/>
  <c r="T41" i="1"/>
  <c r="K39" i="12"/>
  <c r="K40" i="12"/>
  <c r="K41" i="12"/>
  <c r="P39" i="12"/>
  <c r="P40" i="12"/>
  <c r="P41" i="12"/>
  <c r="I20" i="12"/>
  <c r="I21" i="12"/>
  <c r="I22" i="12"/>
  <c r="D33" i="2"/>
  <c r="T20" i="1"/>
  <c r="T21" i="1"/>
  <c r="T22" i="1"/>
  <c r="O29" i="2"/>
  <c r="S20" i="12"/>
  <c r="S21" i="12"/>
  <c r="S22" i="12"/>
  <c r="N33" i="2"/>
  <c r="S11" i="1"/>
  <c r="S20" i="1"/>
  <c r="S21" i="1"/>
  <c r="S22" i="1"/>
  <c r="N29" i="2"/>
  <c r="R34" i="1"/>
  <c r="R39" i="1"/>
  <c r="R40" i="1"/>
  <c r="R41" i="1"/>
  <c r="N34" i="1"/>
  <c r="N39" i="1"/>
  <c r="N40" i="1"/>
  <c r="N41" i="1"/>
  <c r="R39" i="12"/>
  <c r="R40" i="12"/>
  <c r="R41" i="12"/>
  <c r="S39" i="12"/>
  <c r="S40" i="12"/>
  <c r="S41" i="12"/>
  <c r="T39" i="12"/>
  <c r="T40" i="12"/>
  <c r="T41" i="12"/>
  <c r="I39" i="1"/>
  <c r="I40" i="1"/>
  <c r="I41" i="1"/>
  <c r="V11" i="1"/>
  <c r="V20" i="1"/>
  <c r="V21" i="1"/>
  <c r="V22" i="1"/>
  <c r="Q29" i="2"/>
  <c r="Q30" i="2"/>
  <c r="Q32" i="2"/>
  <c r="O34" i="1"/>
  <c r="O39" i="1"/>
  <c r="O40" i="1"/>
  <c r="O41" i="1"/>
  <c r="W11" i="1"/>
  <c r="W20" i="1"/>
  <c r="W21" i="1"/>
  <c r="W22" i="1"/>
  <c r="R29" i="2"/>
  <c r="R30" i="2"/>
  <c r="R32" i="2"/>
  <c r="N39" i="12"/>
  <c r="N40" i="12"/>
  <c r="N41" i="12"/>
  <c r="U39" i="12"/>
  <c r="U40" i="12"/>
  <c r="U41" i="12"/>
  <c r="O20" i="12"/>
  <c r="O21" i="12"/>
  <c r="O22" i="12"/>
  <c r="J33" i="2"/>
  <c r="M20" i="12"/>
  <c r="M21" i="12"/>
  <c r="M22" i="12"/>
  <c r="H33" i="2"/>
  <c r="J20" i="12"/>
  <c r="J21" i="12"/>
  <c r="J22" i="12"/>
  <c r="E33" i="2"/>
  <c r="F28" i="1"/>
  <c r="S34" i="1"/>
  <c r="S39" i="1"/>
  <c r="S40" i="1"/>
  <c r="S41" i="1"/>
  <c r="R11" i="1"/>
  <c r="R20" i="1"/>
  <c r="R21" i="1"/>
  <c r="R22" i="1"/>
  <c r="M29" i="2"/>
  <c r="J20" i="1"/>
  <c r="J21" i="1"/>
  <c r="J22" i="1"/>
  <c r="E29" i="2"/>
  <c r="Q34" i="1"/>
  <c r="Q39" i="1"/>
  <c r="Q40" i="1"/>
  <c r="Q41" i="1"/>
  <c r="V34" i="1"/>
  <c r="V39" i="1"/>
  <c r="V40" i="1"/>
  <c r="V41" i="1"/>
  <c r="L39" i="12"/>
  <c r="L40" i="12"/>
  <c r="L41" i="12"/>
  <c r="Q20" i="12"/>
  <c r="Q21" i="12"/>
  <c r="Q22" i="12"/>
  <c r="L33" i="2"/>
  <c r="T20" i="12"/>
  <c r="T21" i="12"/>
  <c r="T22" i="12"/>
  <c r="O33" i="2"/>
  <c r="N20" i="12"/>
  <c r="N21" i="12"/>
  <c r="N22" i="12"/>
  <c r="I33" i="2"/>
  <c r="P20" i="12"/>
  <c r="P21" i="12"/>
  <c r="P22" i="12"/>
  <c r="K33" i="2"/>
  <c r="W20" i="12"/>
  <c r="W21" i="12"/>
  <c r="W22" i="12"/>
  <c r="R33" i="2"/>
  <c r="P42" i="2"/>
  <c r="P43" i="2"/>
  <c r="T16" i="9"/>
  <c r="S16" i="9"/>
  <c r="R40" i="2"/>
  <c r="R42" i="2"/>
  <c r="Q40" i="2"/>
  <c r="Q42" i="2"/>
  <c r="Q43" i="2"/>
  <c r="T17" i="9"/>
  <c r="S17" i="9"/>
  <c r="R43" i="2"/>
  <c r="T18" i="9"/>
  <c r="S18" i="9"/>
  <c r="I28" i="2" l="1"/>
  <c r="K28" i="2" s="1"/>
  <c r="K30" i="2" s="1"/>
  <c r="K32" i="2" s="1"/>
  <c r="K40" i="2" s="1"/>
  <c r="H28" i="2"/>
  <c r="H30" i="2" s="1"/>
  <c r="H32" i="2" s="1"/>
  <c r="H42" i="2" s="1"/>
  <c r="G28" i="2"/>
  <c r="G30" i="2" s="1"/>
  <c r="G32" i="2" s="1"/>
  <c r="G42" i="2" s="1"/>
  <c r="E28" i="2"/>
  <c r="E30" i="2" s="1"/>
  <c r="E32" i="2" s="1"/>
  <c r="E40" i="2" s="1"/>
  <c r="D28" i="2"/>
  <c r="D30" i="2" s="1"/>
  <c r="D32" i="2" s="1"/>
  <c r="D42" i="2" s="1"/>
  <c r="F40" i="2"/>
  <c r="F42" i="2"/>
  <c r="J28" i="2"/>
  <c r="J30" i="2" s="1"/>
  <c r="J32" i="2" s="1"/>
  <c r="I30" i="2"/>
  <c r="I32" i="2" s="1"/>
  <c r="L28" i="2" l="1"/>
  <c r="O28" i="2" s="1"/>
  <c r="O30" i="2" s="1"/>
  <c r="O32" i="2" s="1"/>
  <c r="K42" i="2"/>
  <c r="G40" i="2"/>
  <c r="G43" i="2" s="1"/>
  <c r="T7" i="9" s="1"/>
  <c r="S7" i="9" s="1"/>
  <c r="H40" i="2"/>
  <c r="H43" i="2" s="1"/>
  <c r="T8" i="9" s="1"/>
  <c r="S8" i="9" s="1"/>
  <c r="D40" i="2"/>
  <c r="D43" i="2" s="1"/>
  <c r="T4" i="9" s="1"/>
  <c r="S4" i="9" s="1"/>
  <c r="E42" i="2"/>
  <c r="E43" i="2" s="1"/>
  <c r="T5" i="9" s="1"/>
  <c r="S5" i="9" s="1"/>
  <c r="F43" i="2"/>
  <c r="T6" i="9" s="1"/>
  <c r="S6" i="9" s="1"/>
  <c r="K43" i="2"/>
  <c r="T11" i="9" s="1"/>
  <c r="S11" i="9" s="1"/>
  <c r="I40" i="2"/>
  <c r="I42" i="2"/>
  <c r="J40" i="2"/>
  <c r="J42" i="2"/>
  <c r="M28" i="2" l="1"/>
  <c r="M30" i="2" s="1"/>
  <c r="M32" i="2" s="1"/>
  <c r="N28" i="2"/>
  <c r="N30" i="2" s="1"/>
  <c r="N32" i="2" s="1"/>
  <c r="N42" i="2" s="1"/>
  <c r="L30" i="2"/>
  <c r="L32" i="2" s="1"/>
  <c r="L40" i="2" s="1"/>
  <c r="W7" i="9"/>
  <c r="W4" i="9"/>
  <c r="W5" i="9"/>
  <c r="W8" i="9"/>
  <c r="W6" i="9"/>
  <c r="J43" i="2"/>
  <c r="T10" i="9" s="1"/>
  <c r="S10" i="9" s="1"/>
  <c r="I43" i="2"/>
  <c r="T9" i="9" s="1"/>
  <c r="S9" i="9" s="1"/>
  <c r="M42" i="2"/>
  <c r="M40" i="2"/>
  <c r="O42" i="2"/>
  <c r="O40" i="2"/>
  <c r="L42" i="2" l="1"/>
  <c r="N40" i="2"/>
  <c r="N43" i="2" s="1"/>
  <c r="T14" i="9" s="1"/>
  <c r="S14" i="9" s="1"/>
  <c r="W10" i="9"/>
  <c r="W11" i="9"/>
  <c r="O43" i="2"/>
  <c r="T15" i="9" s="1"/>
  <c r="S15" i="9" s="1"/>
  <c r="W9" i="9"/>
  <c r="L43" i="2"/>
  <c r="T12" i="9" s="1"/>
  <c r="S12" i="9" s="1"/>
  <c r="M43" i="2"/>
  <c r="T13" i="9" s="1"/>
  <c r="S13" i="9" s="1"/>
  <c r="W17" i="9" l="1"/>
  <c r="W18" i="9"/>
  <c r="W15" i="9"/>
  <c r="W13" i="9"/>
  <c r="W16" i="9"/>
  <c r="W14" i="9"/>
  <c r="W12" i="9"/>
  <c r="F51" i="2" s="1"/>
</calcChain>
</file>

<file path=xl/sharedStrings.xml><?xml version="1.0" encoding="utf-8"?>
<sst xmlns="http://schemas.openxmlformats.org/spreadsheetml/2006/main" count="254" uniqueCount="196">
  <si>
    <t>Plafonnement quotient familial</t>
  </si>
  <si>
    <t>demi-part générale</t>
  </si>
  <si>
    <t>Personnes seules élevé pendant cinq ans</t>
  </si>
  <si>
    <t>part entière premier enfant charge si on élève seul</t>
  </si>
  <si>
    <t>invalidité, combattant</t>
  </si>
  <si>
    <t>maintien quotient conjugal veuf</t>
  </si>
  <si>
    <t>Revenu net imposable</t>
  </si>
  <si>
    <t>nombre de part</t>
  </si>
  <si>
    <t>Ir selon parts</t>
  </si>
  <si>
    <t>Ir une part</t>
  </si>
  <si>
    <t>IR plafonné</t>
  </si>
  <si>
    <t>Impôt retenu</t>
  </si>
  <si>
    <t>CELIBATAIRE DIVORCE VEUF</t>
  </si>
  <si>
    <t>COUPLE PACS</t>
  </si>
  <si>
    <t>Ir deux parts</t>
  </si>
  <si>
    <t>demi-parts au dessus de un</t>
  </si>
  <si>
    <t>demi-parts au dessus de deux</t>
  </si>
  <si>
    <t>Décôte</t>
  </si>
  <si>
    <t>Impôt final</t>
  </si>
  <si>
    <t>Situation familiale</t>
  </si>
  <si>
    <t>Nombre de parts</t>
  </si>
  <si>
    <t>JxPret</t>
  </si>
  <si>
    <t>Totaux</t>
  </si>
  <si>
    <t>Échéance</t>
  </si>
  <si>
    <t>Assurance</t>
  </si>
  <si>
    <t>Principal</t>
  </si>
  <si>
    <t>Intérêts</t>
  </si>
  <si>
    <t>Restant dû</t>
  </si>
  <si>
    <t>Date</t>
  </si>
  <si>
    <t>Numéro</t>
  </si>
  <si>
    <t>Tableau d'amortissement</t>
  </si>
  <si>
    <t>Calcul amortissement :</t>
  </si>
  <si>
    <t>Capital remboursé :</t>
  </si>
  <si>
    <t>Date de déblocage :</t>
  </si>
  <si>
    <t>Taux périodique :</t>
  </si>
  <si>
    <t>- dont assurance :</t>
  </si>
  <si>
    <t>Taux d'assurance :</t>
  </si>
  <si>
    <t>0, 1, 2…</t>
  </si>
  <si>
    <t>Nb décimales monnaie :</t>
  </si>
  <si>
    <t>Durée totale en mois :</t>
  </si>
  <si>
    <t>- dont intérêts :</t>
  </si>
  <si>
    <t>dont différé (en années) :</t>
  </si>
  <si>
    <t>1, 2, 4 ou 12</t>
  </si>
  <si>
    <t>Nb échéances / an :</t>
  </si>
  <si>
    <t>- dont amortissement :</t>
  </si>
  <si>
    <t>Coût total du crédit :</t>
  </si>
  <si>
    <t>Durée en années :</t>
  </si>
  <si>
    <t>A ou P</t>
  </si>
  <si>
    <t>P</t>
  </si>
  <si>
    <t>Mode de calcul :</t>
  </si>
  <si>
    <t>- dont différé :</t>
  </si>
  <si>
    <t>Montant assurance :</t>
  </si>
  <si>
    <t>Taux d'intérêt annuel :</t>
  </si>
  <si>
    <t>Retenu</t>
  </si>
  <si>
    <t>Possible</t>
  </si>
  <si>
    <t>Choix</t>
  </si>
  <si>
    <t>Nb total d'échéances :</t>
  </si>
  <si>
    <t>Montant emprunté :</t>
  </si>
  <si>
    <t>Caractéristiques du crédit</t>
  </si>
  <si>
    <t>Année</t>
  </si>
  <si>
    <t>Intérêts remboursés</t>
  </si>
  <si>
    <t>Ass</t>
  </si>
  <si>
    <t>Revenu foncier imposable</t>
  </si>
  <si>
    <t xml:space="preserve">Revenu foncier </t>
  </si>
  <si>
    <t>Déficit reportable</t>
  </si>
  <si>
    <t>Revenu total imposable</t>
  </si>
  <si>
    <t>Prélèvements sociaux</t>
  </si>
  <si>
    <t>Fiscalité totale</t>
  </si>
  <si>
    <t>Charges déductibles jusqu'à 10700</t>
  </si>
  <si>
    <t>Revenus - charges</t>
  </si>
  <si>
    <t>Revenu foncier avec  déficit antérieur</t>
  </si>
  <si>
    <t> 6% PV</t>
  </si>
  <si>
    <t>Supérieur à 260.000 €</t>
  </si>
  <si>
    <t>6% PV – 25% (260.000 – PV)</t>
  </si>
  <si>
    <t>De 250.001 à 260.000 €</t>
  </si>
  <si>
    <t>5% PV</t>
  </si>
  <si>
    <t>De 210.001 à 250.000 €</t>
  </si>
  <si>
    <t> 5% PV – 20% (210.000 – PV)</t>
  </si>
  <si>
    <t>De 200.001 à 210.000 €</t>
  </si>
  <si>
    <t> 4% PV</t>
  </si>
  <si>
    <t>De 160.001 à 200.000 €</t>
  </si>
  <si>
    <t> 4% PV – 15% (160.000 – PV) </t>
  </si>
  <si>
    <t>De 150.001 à 160.000 €</t>
  </si>
  <si>
    <t> 3% PV</t>
  </si>
  <si>
    <t>De 110.001 à 150.000 €</t>
  </si>
  <si>
    <t> 3% PV – 10% (110.000 – PV) </t>
  </si>
  <si>
    <t>De 100.001 à 110.000 €</t>
  </si>
  <si>
    <t> 2% PV</t>
  </si>
  <si>
    <t>De 60.001 à 100.000 €</t>
  </si>
  <si>
    <t>2% PV – 5% (60.000 – PV)</t>
  </si>
  <si>
    <t>De 50.001 à 60.000 €</t>
  </si>
  <si>
    <t>______________________</t>
  </si>
  <si>
    <t>_______________________</t>
  </si>
  <si>
    <t>taux</t>
  </si>
  <si>
    <t>Durée de détention PS</t>
  </si>
  <si>
    <t>Montant de la taxe</t>
  </si>
  <si>
    <t>Plus-value imposable = PV</t>
  </si>
  <si>
    <t>surtaxe</t>
  </si>
  <si>
    <t>Durée de détention IR</t>
  </si>
  <si>
    <t>Impôt total</t>
  </si>
  <si>
    <t>Fiscalité sur le revenu</t>
  </si>
  <si>
    <t>Plus-value imposable PS</t>
  </si>
  <si>
    <t>Plus-value imposable IR</t>
  </si>
  <si>
    <t>Abattement Prélèvements sociaux</t>
  </si>
  <si>
    <t>Abattement Impôt sur le revenu</t>
  </si>
  <si>
    <t>Les années passées sont décomptées de date à date et non au 1er janvier.</t>
  </si>
  <si>
    <t>Année de détention</t>
  </si>
  <si>
    <t xml:space="preserve">Plus-value </t>
  </si>
  <si>
    <t>Valeur de cession</t>
  </si>
  <si>
    <t>Frais acquisition</t>
  </si>
  <si>
    <t>Frais travaux</t>
  </si>
  <si>
    <t>Valeur acquisition</t>
  </si>
  <si>
    <t>https://www.corrigetonimpot.fr/</t>
  </si>
  <si>
    <t>Montant emprunté</t>
  </si>
  <si>
    <t>Report de la valeur saisie en onglet 1</t>
  </si>
  <si>
    <t>Une taxe complémentaire supplémentaire sera à payer si la plus-value est supérieure à 50 000 €!</t>
  </si>
  <si>
    <t>Remboursement prêt</t>
  </si>
  <si>
    <t xml:space="preserve"> </t>
  </si>
  <si>
    <t>Valeur du bien au terme de l'opération</t>
  </si>
  <si>
    <t>Terme de l'opération</t>
  </si>
  <si>
    <t xml:space="preserve">Au terme de l'opération, vous possédez une bien estimé à </t>
  </si>
  <si>
    <t>En cas de cession, vous devez payez un impôt sur la plus-value de</t>
  </si>
  <si>
    <t>Durée de détention avant cession (en années)</t>
  </si>
  <si>
    <t xml:space="preserve">Travaux déductibles </t>
  </si>
  <si>
    <t xml:space="preserve">Intérêts déductibles </t>
  </si>
  <si>
    <t>Données du prêt immobilier</t>
  </si>
  <si>
    <t>Revenus et charges du bien loué</t>
  </si>
  <si>
    <t>Calcul de l'impôt et des prélèvements sociaux par année.</t>
  </si>
  <si>
    <t>OU</t>
  </si>
  <si>
    <t>Revenus nets procurés par le bien (+)</t>
  </si>
  <si>
    <t>Baisse de l'impôt (+)</t>
  </si>
  <si>
    <t>Hausse de l'impôt (-)</t>
  </si>
  <si>
    <t>Situation familiale/Pinel</t>
  </si>
  <si>
    <t>Est-ce un bien Pinel?</t>
  </si>
  <si>
    <t>Non</t>
  </si>
  <si>
    <t>Oui, Pinel 6 ans</t>
  </si>
  <si>
    <t>Oui, Pinel 9 ans</t>
  </si>
  <si>
    <t>Oui, Pinel 12 ans</t>
  </si>
  <si>
    <t>Réduction Pinel</t>
  </si>
  <si>
    <t>Impôt sur le revenu avant Pinel</t>
  </si>
  <si>
    <t xml:space="preserve">Impôt sur le revenu </t>
  </si>
  <si>
    <t>Fiscalité sans l'investissement locatif</t>
  </si>
  <si>
    <t>L'impôt est calculé avec et sans investissement locatif pour déterminer l'impact du bien loué.</t>
  </si>
  <si>
    <t>Le détail du prêt apparait en onglet 2 du fichier Excel.</t>
  </si>
  <si>
    <t>Le détail de l'impôt sur la plus-value apparait en onglet 3 du fichier Excel.</t>
  </si>
  <si>
    <t>Durée</t>
  </si>
  <si>
    <t>CRD</t>
  </si>
  <si>
    <t>Valeur d'acquisition du bien + frais notaire</t>
  </si>
  <si>
    <t>A déclarer au réel ou au forfait (7,5% et 15% de la VA respectivement); par défaut le logiciel choisit l'option au forfait (15,5%) pour travaux. Option non valable pour les biens détenus depuis moins de 5 ans. Les frais d'acquisition (notaire) sont compris dans la valeur d'acquisition indiquée en case "05" de l'onglet 1. Pas de frais réels au forfait en cas de bien reçus par succession ou donation (frais notaire uniquement).</t>
  </si>
  <si>
    <t>r/ch</t>
  </si>
  <si>
    <t>revente</t>
  </si>
  <si>
    <t>Soit une revalorisation annuelle du bien de</t>
  </si>
  <si>
    <t>Durée du prêt (en années)</t>
  </si>
  <si>
    <t>Taux d'intérêt (%)</t>
  </si>
  <si>
    <t>Taux d'assurance (%)</t>
  </si>
  <si>
    <t>Résultats 2 - Calcul du taux de rendement interne</t>
  </si>
  <si>
    <t>Tableau 1 : Impôt sur le revenu et prélèvements sociaux</t>
  </si>
  <si>
    <t>Charges à payer sur le bien : prêt, travaux, TF… (-)</t>
  </si>
  <si>
    <t>Le TRI (taux de rendement interne) de l'opération est de :</t>
  </si>
  <si>
    <t>Trésorerie en plus (+)/ en moins (-) suite à l'achat du bien.</t>
  </si>
  <si>
    <t>Résultats 1 - Tableau de trésorerie par année</t>
  </si>
  <si>
    <t>Revenu net imposable du foyer fiscal</t>
  </si>
  <si>
    <r>
      <t>Le chiffre important!! Il vous indique</t>
    </r>
    <r>
      <rPr>
        <i/>
        <u/>
        <sz val="12"/>
        <color indexed="8"/>
        <rFont val="Calibri"/>
        <family val="2"/>
      </rPr>
      <t xml:space="preserve"> l'effort de trésorerie à faire par an </t>
    </r>
    <r>
      <rPr>
        <i/>
        <sz val="12"/>
        <color indexed="8"/>
        <rFont val="Calibri"/>
        <family val="2"/>
      </rPr>
      <t xml:space="preserve">suite à l'investissement immobilier. Exemple : résultat de - 9 013 € en case E43. Cela signifie que votre bien vous obligera à dépenser (vous coûtera) 9 013 € en année 2. </t>
    </r>
  </si>
  <si>
    <t>Partagez le simulateur sur facebook en cliquant ici</t>
  </si>
  <si>
    <t>Remplir les cases bleues uniquement</t>
  </si>
  <si>
    <t>Résultats importants en jaune</t>
  </si>
  <si>
    <t xml:space="preserve">Simulateur plus-value immobilière </t>
  </si>
  <si>
    <t>Merci de remplir uniquement les cases bleues</t>
  </si>
  <si>
    <t>Loyers</t>
  </si>
  <si>
    <t>Années</t>
  </si>
  <si>
    <t>engendrée par l'investissement</t>
  </si>
  <si>
    <t>Vous devez rembourser le capital restant dû du prêt qui est de :</t>
  </si>
  <si>
    <t>Autres déductions  (TF, assurances…)</t>
  </si>
  <si>
    <t>Tableau d'amortissement - Prêt immobilier</t>
  </si>
  <si>
    <t>Durée de la simulation en années (case R6)</t>
  </si>
  <si>
    <t>Célibataire-Divorcé-Veuf</t>
  </si>
  <si>
    <t>Enfant élevé seul (L)</t>
  </si>
  <si>
    <t>Invalidité</t>
  </si>
  <si>
    <t>Parent isolé (T)</t>
  </si>
  <si>
    <t xml:space="preserve">   Enfants à charge</t>
  </si>
  <si>
    <t xml:space="preserve">   Situation particulière</t>
  </si>
  <si>
    <t>Marié-Pacsé</t>
  </si>
  <si>
    <t>Case T</t>
  </si>
  <si>
    <t>Case L</t>
  </si>
  <si>
    <t>Handicap</t>
  </si>
  <si>
    <t>TMI 2020</t>
  </si>
  <si>
    <t>Simulateur Loi Pinel 2024 - Corrigetonimpôt</t>
  </si>
  <si>
    <t>Copyright © 2024 — Corrige ton impôt. All Rights Reserved. Fichier posté pour la première fois  sur www.corrigetonimpot.fr</t>
  </si>
  <si>
    <t>Oui, Pinel + ou ancien Pinel 6 ans</t>
  </si>
  <si>
    <t>Oui, Pinel + ou ancien Pinel 9 ans</t>
  </si>
  <si>
    <t>Oui, Pinel 2023 6 ans</t>
  </si>
  <si>
    <t>Oui, Pinel 2023 9 ans</t>
  </si>
  <si>
    <t>Oui, Pinel 2023 12 ans</t>
  </si>
  <si>
    <t>Oui, Pinel outre mer avant 2023 12 ans</t>
  </si>
  <si>
    <t>Oui, Pinel outre-mer  2023 12 ans</t>
  </si>
  <si>
    <t>Oui, Pinel + ou ancien Pinel 12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</si>
</sst>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0.000000%"/>
    <numFmt numFmtId="165" formatCode="#,##0\ &quot;€&quot;"/>
  </numFmts>
  <fonts count="70" x14ac:knownFonts="1">
    <font>
      <sz val="11"/>
      <color theme="1"/>
      <name val="Calibri"/>
      <family val="2"/>
      <scheme val="minor"/>
    </font>
    <font>
      <sz val="10"/>
      <name val="Arial"/>
      <family val="2"/>
    </font>
    <font>
      <sz val="10"/>
      <color indexed="54"/>
      <name val="Arial"/>
      <family val="2"/>
    </font>
    <font>
      <sz val="10"/>
      <color indexed="9"/>
      <name val="Arial"/>
      <family val="2"/>
    </font>
    <font>
      <u/>
      <sz val="10"/>
      <color indexed="12"/>
      <name val="Arial"/>
      <family val="2"/>
    </font>
    <font>
      <b/>
      <sz val="10"/>
      <color indexed="54"/>
      <name val="Arial"/>
      <family val="2"/>
    </font>
    <font>
      <i/>
      <sz val="9"/>
      <color indexed="55"/>
      <name val="Arial"/>
      <family val="2"/>
    </font>
    <font>
      <b/>
      <sz val="10"/>
      <color indexed="9"/>
      <name val="Arial"/>
      <family val="2"/>
    </font>
    <font>
      <b/>
      <sz val="10"/>
      <name val="Arial"/>
      <family val="2"/>
    </font>
    <font>
      <i/>
      <sz val="10"/>
      <color indexed="9"/>
      <name val="Arial"/>
      <family val="2"/>
    </font>
    <font>
      <b/>
      <i/>
      <sz val="10"/>
      <name val="Arial"/>
      <family val="2"/>
    </font>
    <font>
      <i/>
      <sz val="12"/>
      <color indexed="8"/>
      <name val="Calibri"/>
      <family val="2"/>
    </font>
    <font>
      <i/>
      <u/>
      <sz val="12"/>
      <color indexed="8"/>
      <name val="Calibri"/>
      <family val="2"/>
    </font>
    <font>
      <sz val="11"/>
      <color theme="1"/>
      <name val="Calibri"/>
      <family val="2"/>
      <scheme val="minor"/>
    </font>
    <font>
      <sz val="11"/>
      <color theme="0"/>
      <name val="Calibri"/>
      <family val="2"/>
      <scheme val="minor"/>
    </font>
    <font>
      <sz val="11"/>
      <color rgb="FFFF0000"/>
      <name val="Calibri"/>
      <family val="2"/>
      <scheme val="minor"/>
    </font>
    <font>
      <b/>
      <sz val="11"/>
      <color theme="1"/>
      <name val="Calibri"/>
      <family val="2"/>
      <scheme val="minor"/>
    </font>
    <font>
      <b/>
      <sz val="11"/>
      <color theme="0"/>
      <name val="Calibri"/>
      <family val="2"/>
      <scheme val="minor"/>
    </font>
    <font>
      <b/>
      <sz val="12"/>
      <color rgb="FFC00000"/>
      <name val="Calibri"/>
      <family val="2"/>
      <scheme val="minor"/>
    </font>
    <font>
      <sz val="12"/>
      <color rgb="FFC00000"/>
      <name val="Calibri"/>
      <family val="2"/>
      <scheme val="minor"/>
    </font>
    <font>
      <b/>
      <sz val="12"/>
      <color theme="1"/>
      <name val="Calibri"/>
      <family val="2"/>
      <scheme val="minor"/>
    </font>
    <font>
      <b/>
      <i/>
      <sz val="11"/>
      <color theme="1"/>
      <name val="Calibri"/>
      <family val="2"/>
      <scheme val="minor"/>
    </font>
    <font>
      <sz val="11"/>
      <color theme="3" tint="-0.249977111117893"/>
      <name val="Calibri"/>
      <family val="2"/>
      <scheme val="minor"/>
    </font>
    <font>
      <sz val="11"/>
      <color rgb="FFFF3300"/>
      <name val="Calibri"/>
      <family val="2"/>
      <scheme val="minor"/>
    </font>
    <font>
      <b/>
      <sz val="13"/>
      <color rgb="FFFF0000"/>
      <name val="Calibri"/>
      <family val="2"/>
      <scheme val="minor"/>
    </font>
    <font>
      <i/>
      <sz val="11"/>
      <color theme="1"/>
      <name val="Calibri"/>
      <family val="2"/>
      <scheme val="minor"/>
    </font>
    <font>
      <i/>
      <sz val="11"/>
      <color theme="0" tint="-0.34998626667073579"/>
      <name val="Calibri"/>
      <family val="2"/>
      <scheme val="minor"/>
    </font>
    <font>
      <i/>
      <sz val="10"/>
      <color theme="1" tint="0.34998626667073579"/>
      <name val="Calibri"/>
      <family val="2"/>
      <scheme val="minor"/>
    </font>
    <font>
      <sz val="11"/>
      <color rgb="FF000066"/>
      <name val="Calibri"/>
      <family val="2"/>
      <scheme val="minor"/>
    </font>
    <font>
      <b/>
      <sz val="14"/>
      <color rgb="FFFF0000"/>
      <name val="Calibri"/>
      <family val="2"/>
      <scheme val="minor"/>
    </font>
    <font>
      <b/>
      <sz val="11"/>
      <color rgb="FF92D050"/>
      <name val="Calibri"/>
      <family val="2"/>
      <scheme val="minor"/>
    </font>
    <font>
      <b/>
      <sz val="11"/>
      <color rgb="FFFF0000"/>
      <name val="Calibri"/>
      <family val="2"/>
      <scheme val="minor"/>
    </font>
    <font>
      <sz val="11"/>
      <color theme="0" tint="-4.9989318521683403E-2"/>
      <name val="Calibri"/>
      <family val="2"/>
      <scheme val="minor"/>
    </font>
    <font>
      <sz val="10"/>
      <color theme="1"/>
      <name val="Calibri"/>
      <family val="2"/>
      <scheme val="minor"/>
    </font>
    <font>
      <sz val="11"/>
      <color rgb="FFC00000"/>
      <name val="Calibri"/>
      <family val="2"/>
      <scheme val="minor"/>
    </font>
    <font>
      <i/>
      <sz val="11"/>
      <color theme="2" tint="-0.89999084444715716"/>
      <name val="Calibri"/>
      <family val="2"/>
      <scheme val="minor"/>
    </font>
    <font>
      <b/>
      <i/>
      <sz val="11"/>
      <color theme="1" tint="0.499984740745262"/>
      <name val="Calibri"/>
      <family val="2"/>
      <scheme val="minor"/>
    </font>
    <font>
      <i/>
      <sz val="11"/>
      <color rgb="FFFF0000"/>
      <name val="Calibri"/>
      <family val="2"/>
      <scheme val="minor"/>
    </font>
    <font>
      <sz val="12"/>
      <color rgb="FFFF0000"/>
      <name val="Calibri"/>
      <family val="2"/>
      <scheme val="minor"/>
    </font>
    <font>
      <b/>
      <sz val="12"/>
      <color theme="5" tint="-0.249977111117893"/>
      <name val="Calibri"/>
      <family val="2"/>
      <scheme val="minor"/>
    </font>
    <font>
      <sz val="12"/>
      <color theme="1"/>
      <name val="Calibri"/>
      <family val="2"/>
      <scheme val="minor"/>
    </font>
    <font>
      <i/>
      <sz val="11"/>
      <color theme="1" tint="0.34998626667073579"/>
      <name val="Calibri"/>
      <family val="2"/>
      <scheme val="minor"/>
    </font>
    <font>
      <i/>
      <sz val="12"/>
      <color theme="1"/>
      <name val="Calibri"/>
      <family val="2"/>
      <scheme val="minor"/>
    </font>
    <font>
      <sz val="11"/>
      <name val="Calibri"/>
      <family val="2"/>
      <scheme val="minor"/>
    </font>
    <font>
      <sz val="10"/>
      <color theme="5" tint="-0.249977111117893"/>
      <name val="Calibri"/>
      <family val="2"/>
      <scheme val="minor"/>
    </font>
    <font>
      <i/>
      <sz val="10"/>
      <color theme="1"/>
      <name val="Calibri"/>
      <family val="2"/>
      <scheme val="minor"/>
    </font>
    <font>
      <sz val="11"/>
      <color theme="9" tint="-0.249977111117893"/>
      <name val="Calibri"/>
      <family val="2"/>
      <scheme val="minor"/>
    </font>
    <font>
      <i/>
      <sz val="11"/>
      <name val="Calibri"/>
      <family val="2"/>
      <scheme val="minor"/>
    </font>
    <font>
      <sz val="100"/>
      <color theme="0" tint="-4.9989318521683403E-2"/>
      <name val="Calibri"/>
      <family val="2"/>
      <scheme val="minor"/>
    </font>
    <font>
      <sz val="12"/>
      <color theme="0" tint="-4.9989318521683403E-2"/>
      <name val="Calibri"/>
      <family val="2"/>
      <scheme val="minor"/>
    </font>
    <font>
      <b/>
      <sz val="20"/>
      <color rgb="FFFF0000"/>
      <name val="Calibri"/>
      <family val="2"/>
      <scheme val="minor"/>
    </font>
    <font>
      <u/>
      <sz val="100"/>
      <color theme="0"/>
      <name val="Arial"/>
      <family val="2"/>
    </font>
    <font>
      <sz val="10"/>
      <color theme="0"/>
      <name val="Arial"/>
      <family val="2"/>
    </font>
    <font>
      <b/>
      <sz val="10"/>
      <color theme="0"/>
      <name val="Arial"/>
      <family val="2"/>
    </font>
    <font>
      <i/>
      <sz val="9"/>
      <color theme="1"/>
      <name val="Calibri"/>
      <family val="2"/>
      <scheme val="minor"/>
    </font>
    <font>
      <b/>
      <sz val="9"/>
      <color rgb="FFFF0000"/>
      <name val="Calibri"/>
      <family val="2"/>
      <scheme val="minor"/>
    </font>
    <font>
      <b/>
      <sz val="11"/>
      <color rgb="FFC00000"/>
      <name val="Calibri"/>
      <family val="2"/>
      <scheme val="minor"/>
    </font>
    <font>
      <sz val="10"/>
      <color rgb="FF000066"/>
      <name val="Calibri"/>
      <family val="2"/>
      <scheme val="minor"/>
    </font>
    <font>
      <i/>
      <sz val="11"/>
      <color rgb="FF92D050"/>
      <name val="Calibri"/>
      <family val="2"/>
      <scheme val="minor"/>
    </font>
    <font>
      <b/>
      <i/>
      <sz val="11"/>
      <color theme="0"/>
      <name val="Calibri"/>
      <family val="2"/>
      <scheme val="minor"/>
    </font>
    <font>
      <b/>
      <i/>
      <sz val="10"/>
      <color rgb="FF00B0F0"/>
      <name val="Arial"/>
      <family val="2"/>
    </font>
    <font>
      <b/>
      <i/>
      <sz val="12"/>
      <color theme="1"/>
      <name val="Calibri"/>
      <family val="2"/>
      <scheme val="minor"/>
    </font>
    <font>
      <b/>
      <i/>
      <sz val="13"/>
      <color rgb="FFFF0000"/>
      <name val="Calibri"/>
      <family val="2"/>
      <scheme val="minor"/>
    </font>
    <font>
      <b/>
      <sz val="19"/>
      <color theme="1" tint="4.9989318521683403E-2"/>
      <name val="Arial Rounded MT Bold"/>
      <family val="2"/>
    </font>
    <font>
      <i/>
      <sz val="13"/>
      <color rgb="FFFF0000"/>
      <name val="Calibri"/>
      <family val="2"/>
      <scheme val="minor"/>
    </font>
    <font>
      <b/>
      <i/>
      <sz val="14"/>
      <color rgb="FFFF0000"/>
      <name val="Arial"/>
      <family val="2"/>
    </font>
    <font>
      <sz val="9"/>
      <color theme="1"/>
      <name val="Calibri"/>
      <family val="2"/>
      <scheme val="minor"/>
    </font>
    <font>
      <b/>
      <sz val="13"/>
      <color rgb="FFFF3300"/>
      <name val="Calibri"/>
      <family val="2"/>
      <scheme val="minor"/>
    </font>
    <font>
      <sz val="100"/>
      <color theme="0"/>
      <name val="Calibri"/>
      <family val="2"/>
      <scheme val="minor"/>
    </font>
    <font>
      <b/>
      <sz val="16"/>
      <color rgb="FFFF0000"/>
      <name val="Calibri"/>
      <family val="2"/>
      <scheme val="minor"/>
    </font>
  </fonts>
  <fills count="12">
    <fill>
      <patternFill patternType="none"/>
    </fill>
    <fill>
      <patternFill patternType="gray125"/>
    </fill>
    <fill>
      <patternFill patternType="solid">
        <fgColor indexed="48"/>
        <bgColor indexed="64"/>
      </patternFill>
    </fill>
    <fill>
      <patternFill patternType="solid">
        <fgColor indexed="22"/>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s>
  <borders count="60">
    <border>
      <left/>
      <right/>
      <top/>
      <bottom/>
      <diagonal/>
    </border>
    <border>
      <left style="thin">
        <color indexed="12"/>
      </left>
      <right style="thin">
        <color indexed="12"/>
      </right>
      <top style="thin">
        <color indexed="12"/>
      </top>
      <bottom style="thin">
        <color indexed="12"/>
      </bottom>
      <diagonal/>
    </border>
    <border>
      <left/>
      <right style="thin">
        <color indexed="12"/>
      </right>
      <top/>
      <bottom style="thin">
        <color indexed="12"/>
      </bottom>
      <diagonal/>
    </border>
    <border>
      <left/>
      <right/>
      <top/>
      <bottom style="thin">
        <color indexed="12"/>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54"/>
      </left>
      <right style="thin">
        <color indexed="54"/>
      </right>
      <top style="thin">
        <color indexed="54"/>
      </top>
      <bottom style="thin">
        <color indexed="5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12"/>
      </right>
      <top style="thin">
        <color indexed="12"/>
      </top>
      <bottom style="thin">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hair">
        <color indexed="64"/>
      </top>
      <bottom/>
      <diagonal/>
    </border>
    <border>
      <left/>
      <right/>
      <top/>
      <bottom style="thin">
        <color indexed="54"/>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9" fontId="13" fillId="0" borderId="0" applyFont="0" applyFill="0" applyBorder="0" applyAlignment="0" applyProtection="0"/>
  </cellStyleXfs>
  <cellXfs count="328">
    <xf numFmtId="0" fontId="0" fillId="0" borderId="0" xfId="0"/>
    <xf numFmtId="0" fontId="2" fillId="0" borderId="0" xfId="2" applyFont="1" applyProtection="1">
      <protection hidden="1"/>
    </xf>
    <xf numFmtId="0" fontId="2" fillId="0" borderId="0" xfId="2" applyFont="1" applyAlignment="1" applyProtection="1">
      <alignment horizontal="center"/>
      <protection hidden="1"/>
    </xf>
    <xf numFmtId="4" fontId="2" fillId="0" borderId="0" xfId="2" applyNumberFormat="1" applyFont="1" applyProtection="1">
      <protection hidden="1"/>
    </xf>
    <xf numFmtId="0" fontId="3" fillId="0" borderId="0" xfId="2" applyFont="1" applyAlignment="1" applyProtection="1">
      <alignment horizontal="center"/>
      <protection hidden="1"/>
    </xf>
    <xf numFmtId="14" fontId="2" fillId="0" borderId="0" xfId="2" applyNumberFormat="1" applyFont="1" applyProtection="1">
      <protection hidden="1"/>
    </xf>
    <xf numFmtId="0" fontId="4" fillId="0" borderId="0" xfId="1" applyNumberFormat="1" applyFill="1" applyBorder="1" applyAlignment="1" applyProtection="1">
      <protection hidden="1"/>
    </xf>
    <xf numFmtId="0" fontId="2" fillId="0" borderId="0" xfId="2" applyFont="1" applyAlignment="1" applyProtection="1">
      <alignment vertical="top"/>
      <protection hidden="1"/>
    </xf>
    <xf numFmtId="0" fontId="5" fillId="0" borderId="0" xfId="2" applyFont="1" applyAlignment="1" applyProtection="1">
      <alignment horizontal="right"/>
      <protection hidden="1"/>
    </xf>
    <xf numFmtId="0" fontId="5" fillId="0" borderId="0" xfId="2" applyFont="1" applyAlignment="1" applyProtection="1">
      <alignment horizontal="center"/>
      <protection hidden="1"/>
    </xf>
    <xf numFmtId="0" fontId="3" fillId="2" borderId="1" xfId="2" applyFont="1" applyFill="1" applyBorder="1" applyAlignment="1" applyProtection="1">
      <alignment horizontal="left"/>
      <protection hidden="1"/>
    </xf>
    <xf numFmtId="0" fontId="3" fillId="2" borderId="1" xfId="2" applyFont="1" applyFill="1" applyBorder="1" applyProtection="1">
      <protection hidden="1"/>
    </xf>
    <xf numFmtId="0" fontId="9" fillId="2" borderId="1" xfId="2" applyFont="1" applyFill="1" applyBorder="1" applyProtection="1">
      <protection hidden="1"/>
    </xf>
    <xf numFmtId="0" fontId="3" fillId="0" borderId="2" xfId="2" applyFont="1" applyBorder="1" applyProtection="1">
      <protection hidden="1"/>
    </xf>
    <xf numFmtId="0" fontId="3" fillId="0" borderId="3" xfId="2" applyFont="1" applyBorder="1" applyProtection="1">
      <protection hidden="1"/>
    </xf>
    <xf numFmtId="4" fontId="2" fillId="0" borderId="0" xfId="2" applyNumberFormat="1" applyFont="1" applyAlignment="1" applyProtection="1">
      <alignment vertical="top"/>
      <protection hidden="1"/>
    </xf>
    <xf numFmtId="0" fontId="2" fillId="0" borderId="0" xfId="2" applyFont="1" applyAlignment="1" applyProtection="1">
      <alignment horizontal="center" vertical="center"/>
      <protection hidden="1"/>
    </xf>
    <xf numFmtId="0" fontId="10" fillId="0" borderId="0" xfId="2" applyFont="1" applyProtection="1">
      <protection hidden="1"/>
    </xf>
    <xf numFmtId="1" fontId="10" fillId="0" borderId="0" xfId="2" applyNumberFormat="1" applyFont="1" applyAlignment="1" applyProtection="1">
      <alignment horizontal="center" vertical="center"/>
      <protection hidden="1"/>
    </xf>
    <xf numFmtId="0" fontId="10" fillId="0" borderId="0" xfId="2" applyFont="1" applyAlignment="1" applyProtection="1">
      <alignment horizontal="center" vertical="center"/>
      <protection hidden="1"/>
    </xf>
    <xf numFmtId="0" fontId="10" fillId="0" borderId="0" xfId="2" applyFont="1" applyAlignment="1" applyProtection="1">
      <alignment horizontal="center"/>
      <protection hidden="1"/>
    </xf>
    <xf numFmtId="4" fontId="10" fillId="0" borderId="0" xfId="2" applyNumberFormat="1" applyFont="1" applyAlignment="1" applyProtection="1">
      <alignment horizontal="center" vertical="center"/>
      <protection hidden="1"/>
    </xf>
    <xf numFmtId="0" fontId="0" fillId="5" borderId="0" xfId="0" applyFill="1" applyProtection="1">
      <protection hidden="1"/>
    </xf>
    <xf numFmtId="0" fontId="0" fillId="0" borderId="0" xfId="0" applyProtection="1">
      <protection hidden="1"/>
    </xf>
    <xf numFmtId="0" fontId="1" fillId="4" borderId="1" xfId="2" applyFill="1" applyBorder="1" applyAlignment="1" applyProtection="1">
      <alignment horizontal="center"/>
      <protection hidden="1"/>
    </xf>
    <xf numFmtId="0" fontId="0" fillId="6" borderId="4" xfId="0" applyFill="1" applyBorder="1" applyProtection="1">
      <protection hidden="1"/>
    </xf>
    <xf numFmtId="0" fontId="0" fillId="6" borderId="0" xfId="0" applyFill="1" applyProtection="1">
      <protection hidden="1"/>
    </xf>
    <xf numFmtId="0" fontId="0" fillId="6" borderId="5" xfId="0" applyFill="1" applyBorder="1" applyProtection="1">
      <protection hidden="1"/>
    </xf>
    <xf numFmtId="0" fontId="18" fillId="6" borderId="6" xfId="0" applyFont="1" applyFill="1" applyBorder="1" applyProtection="1">
      <protection hidden="1"/>
    </xf>
    <xf numFmtId="0" fontId="19" fillId="6" borderId="7" xfId="0" applyFont="1" applyFill="1" applyBorder="1" applyProtection="1">
      <protection hidden="1"/>
    </xf>
    <xf numFmtId="0" fontId="19" fillId="6" borderId="8" xfId="0" applyFont="1" applyFill="1" applyBorder="1" applyProtection="1">
      <protection hidden="1"/>
    </xf>
    <xf numFmtId="0" fontId="16" fillId="6" borderId="4" xfId="0" applyFont="1" applyFill="1" applyBorder="1" applyProtection="1">
      <protection hidden="1"/>
    </xf>
    <xf numFmtId="0" fontId="20" fillId="6" borderId="9" xfId="0" applyFont="1" applyFill="1" applyBorder="1" applyAlignment="1" applyProtection="1">
      <alignment horizontal="left"/>
      <protection hidden="1"/>
    </xf>
    <xf numFmtId="0" fontId="0" fillId="6" borderId="10" xfId="0" applyFill="1" applyBorder="1" applyProtection="1">
      <protection hidden="1"/>
    </xf>
    <xf numFmtId="0" fontId="0" fillId="6" borderId="0" xfId="0" applyFill="1" applyAlignment="1" applyProtection="1">
      <alignment horizontal="center"/>
      <protection hidden="1"/>
    </xf>
    <xf numFmtId="0" fontId="21" fillId="6" borderId="9" xfId="0" applyFont="1" applyFill="1" applyBorder="1" applyAlignment="1" applyProtection="1">
      <alignment horizontal="left"/>
      <protection hidden="1"/>
    </xf>
    <xf numFmtId="0" fontId="0" fillId="6" borderId="10" xfId="0" applyFill="1" applyBorder="1" applyAlignment="1" applyProtection="1">
      <alignment horizontal="center"/>
      <protection hidden="1"/>
    </xf>
    <xf numFmtId="0" fontId="0" fillId="0" borderId="0" xfId="0" applyAlignment="1" applyProtection="1">
      <alignment horizontal="center"/>
      <protection hidden="1"/>
    </xf>
    <xf numFmtId="0" fontId="0" fillId="6" borderId="4" xfId="0" applyFill="1" applyBorder="1" applyAlignment="1" applyProtection="1">
      <alignment horizontal="left"/>
      <protection hidden="1"/>
    </xf>
    <xf numFmtId="165" fontId="0" fillId="6" borderId="0" xfId="0" applyNumberFormat="1" applyFill="1" applyAlignment="1" applyProtection="1">
      <alignment horizontal="center"/>
      <protection hidden="1"/>
    </xf>
    <xf numFmtId="0" fontId="22" fillId="6" borderId="11" xfId="0" applyFont="1" applyFill="1" applyBorder="1" applyAlignment="1" applyProtection="1">
      <alignment horizontal="left"/>
      <protection hidden="1"/>
    </xf>
    <xf numFmtId="0" fontId="22" fillId="6" borderId="12" xfId="0" applyFont="1" applyFill="1" applyBorder="1" applyProtection="1">
      <protection hidden="1"/>
    </xf>
    <xf numFmtId="165" fontId="22" fillId="6" borderId="12" xfId="0" applyNumberFormat="1" applyFont="1" applyFill="1" applyBorder="1" applyAlignment="1" applyProtection="1">
      <alignment horizontal="center"/>
      <protection hidden="1"/>
    </xf>
    <xf numFmtId="0" fontId="20" fillId="6" borderId="13" xfId="0" applyFont="1" applyFill="1" applyBorder="1" applyAlignment="1" applyProtection="1">
      <alignment horizontal="left"/>
      <protection hidden="1"/>
    </xf>
    <xf numFmtId="0" fontId="0" fillId="6" borderId="14" xfId="0" applyFill="1" applyBorder="1" applyProtection="1">
      <protection hidden="1"/>
    </xf>
    <xf numFmtId="10" fontId="22" fillId="6" borderId="12" xfId="3" applyNumberFormat="1" applyFont="1" applyFill="1" applyBorder="1" applyAlignment="1" applyProtection="1">
      <alignment horizontal="center"/>
      <protection hidden="1"/>
    </xf>
    <xf numFmtId="9" fontId="13" fillId="6" borderId="0" xfId="3" applyFont="1" applyFill="1" applyBorder="1" applyAlignment="1" applyProtection="1">
      <alignment horizontal="center"/>
      <protection hidden="1"/>
    </xf>
    <xf numFmtId="0" fontId="22" fillId="6" borderId="15" xfId="0" applyFont="1" applyFill="1" applyBorder="1" applyAlignment="1" applyProtection="1">
      <alignment horizontal="left"/>
      <protection hidden="1"/>
    </xf>
    <xf numFmtId="0" fontId="22" fillId="6" borderId="9" xfId="0" applyFont="1" applyFill="1" applyBorder="1" applyAlignment="1" applyProtection="1">
      <alignment horizontal="left"/>
      <protection hidden="1"/>
    </xf>
    <xf numFmtId="0" fontId="22" fillId="6" borderId="10" xfId="0" applyFont="1" applyFill="1" applyBorder="1" applyProtection="1">
      <protection hidden="1"/>
    </xf>
    <xf numFmtId="165" fontId="22" fillId="6" borderId="10" xfId="0" applyNumberFormat="1" applyFont="1" applyFill="1" applyBorder="1" applyAlignment="1" applyProtection="1">
      <alignment horizontal="center"/>
      <protection hidden="1"/>
    </xf>
    <xf numFmtId="0" fontId="23" fillId="6" borderId="9" xfId="0" applyFont="1" applyFill="1" applyBorder="1" applyAlignment="1" applyProtection="1">
      <alignment horizontal="left"/>
      <protection hidden="1"/>
    </xf>
    <xf numFmtId="0" fontId="23" fillId="6" borderId="10" xfId="0" applyFont="1" applyFill="1" applyBorder="1" applyProtection="1">
      <protection hidden="1"/>
    </xf>
    <xf numFmtId="165" fontId="23" fillId="6" borderId="10" xfId="0" applyNumberFormat="1" applyFont="1" applyFill="1" applyBorder="1" applyAlignment="1" applyProtection="1">
      <alignment horizontal="center"/>
      <protection hidden="1"/>
    </xf>
    <xf numFmtId="0" fontId="24" fillId="6" borderId="0" xfId="0" applyFont="1" applyFill="1" applyProtection="1">
      <protection hidden="1"/>
    </xf>
    <xf numFmtId="165" fontId="24" fillId="6" borderId="0" xfId="0" applyNumberFormat="1" applyFont="1" applyFill="1" applyAlignment="1" applyProtection="1">
      <alignment horizontal="center"/>
      <protection hidden="1"/>
    </xf>
    <xf numFmtId="0" fontId="0" fillId="6" borderId="16" xfId="0" applyFill="1" applyBorder="1" applyProtection="1">
      <protection hidden="1"/>
    </xf>
    <xf numFmtId="0" fontId="0" fillId="6" borderId="17" xfId="0" applyFill="1" applyBorder="1" applyProtection="1">
      <protection hidden="1"/>
    </xf>
    <xf numFmtId="0" fontId="0" fillId="6" borderId="18" xfId="0" applyFill="1" applyBorder="1" applyProtection="1">
      <protection hidden="1"/>
    </xf>
    <xf numFmtId="0" fontId="10" fillId="0" borderId="0" xfId="2" applyFont="1" applyAlignment="1" applyProtection="1">
      <alignment horizontal="left"/>
      <protection hidden="1"/>
    </xf>
    <xf numFmtId="4" fontId="10" fillId="0" borderId="0" xfId="2" applyNumberFormat="1" applyFont="1" applyAlignment="1" applyProtection="1">
      <alignment vertical="center"/>
      <protection hidden="1"/>
    </xf>
    <xf numFmtId="0" fontId="0" fillId="7" borderId="4" xfId="0" applyFill="1" applyBorder="1" applyProtection="1">
      <protection hidden="1"/>
    </xf>
    <xf numFmtId="0" fontId="0" fillId="7" borderId="0" xfId="0" applyFill="1" applyProtection="1">
      <protection hidden="1"/>
    </xf>
    <xf numFmtId="0" fontId="0" fillId="7" borderId="5" xfId="0" applyFill="1" applyBorder="1" applyProtection="1">
      <protection hidden="1"/>
    </xf>
    <xf numFmtId="0" fontId="25" fillId="7" borderId="0" xfId="0" applyFont="1" applyFill="1" applyProtection="1">
      <protection hidden="1"/>
    </xf>
    <xf numFmtId="0" fontId="25" fillId="7" borderId="17" xfId="0" applyFont="1" applyFill="1" applyBorder="1" applyProtection="1">
      <protection hidden="1"/>
    </xf>
    <xf numFmtId="6" fontId="25" fillId="7" borderId="0" xfId="0" applyNumberFormat="1" applyFont="1" applyFill="1" applyProtection="1">
      <protection hidden="1"/>
    </xf>
    <xf numFmtId="1" fontId="26" fillId="7" borderId="0" xfId="0" applyNumberFormat="1" applyFont="1" applyFill="1" applyAlignment="1" applyProtection="1">
      <alignment horizontal="center" vertical="center"/>
      <protection hidden="1"/>
    </xf>
    <xf numFmtId="1" fontId="27" fillId="7" borderId="0" xfId="0" applyNumberFormat="1" applyFont="1" applyFill="1" applyAlignment="1" applyProtection="1">
      <alignment horizontal="center" vertical="center"/>
      <protection hidden="1"/>
    </xf>
    <xf numFmtId="0" fontId="28" fillId="7" borderId="16" xfId="0" applyFont="1" applyFill="1" applyBorder="1" applyAlignment="1" applyProtection="1">
      <alignment horizontal="left" vertical="center"/>
      <protection hidden="1"/>
    </xf>
    <xf numFmtId="0" fontId="29" fillId="7" borderId="0" xfId="0" applyFont="1" applyFill="1" applyAlignment="1" applyProtection="1">
      <alignment horizontal="center"/>
      <protection hidden="1"/>
    </xf>
    <xf numFmtId="0" fontId="30" fillId="7" borderId="0" xfId="0" applyFont="1" applyFill="1" applyAlignment="1" applyProtection="1">
      <alignment horizontal="center" vertical="center" wrapText="1"/>
      <protection hidden="1"/>
    </xf>
    <xf numFmtId="0" fontId="30" fillId="7" borderId="0" xfId="0" applyFont="1" applyFill="1" applyAlignment="1" applyProtection="1">
      <alignment horizontal="center" wrapText="1"/>
      <protection hidden="1"/>
    </xf>
    <xf numFmtId="165" fontId="31" fillId="7" borderId="0" xfId="0" applyNumberFormat="1" applyFont="1" applyFill="1" applyAlignment="1" applyProtection="1">
      <alignment horizontal="center" vertical="center"/>
      <protection hidden="1"/>
    </xf>
    <xf numFmtId="165" fontId="29" fillId="7" borderId="0" xfId="0" applyNumberFormat="1" applyFont="1" applyFill="1" applyAlignment="1" applyProtection="1">
      <alignment horizontal="center" vertical="center"/>
      <protection hidden="1"/>
    </xf>
    <xf numFmtId="0" fontId="25" fillId="7" borderId="16" xfId="0" applyFont="1" applyFill="1" applyBorder="1" applyProtection="1">
      <protection hidden="1"/>
    </xf>
    <xf numFmtId="0" fontId="0" fillId="7" borderId="17" xfId="0" applyFill="1" applyBorder="1" applyProtection="1">
      <protection hidden="1"/>
    </xf>
    <xf numFmtId="0" fontId="32" fillId="7" borderId="18" xfId="0" applyFont="1" applyFill="1" applyBorder="1" applyProtection="1">
      <protection hidden="1"/>
    </xf>
    <xf numFmtId="0" fontId="27" fillId="7" borderId="0" xfId="0" applyFont="1" applyFill="1" applyAlignment="1" applyProtection="1">
      <alignment horizontal="center" vertical="center"/>
      <protection hidden="1"/>
    </xf>
    <xf numFmtId="165" fontId="33" fillId="7" borderId="0" xfId="0" applyNumberFormat="1" applyFont="1" applyFill="1" applyAlignment="1" applyProtection="1">
      <alignment horizontal="center" vertical="center"/>
      <protection hidden="1"/>
    </xf>
    <xf numFmtId="165" fontId="34" fillId="7" borderId="0" xfId="0" applyNumberFormat="1" applyFont="1" applyFill="1" applyAlignment="1" applyProtection="1">
      <alignment horizontal="center" vertical="center"/>
      <protection hidden="1"/>
    </xf>
    <xf numFmtId="165" fontId="34" fillId="7" borderId="5" xfId="0" applyNumberFormat="1" applyFont="1" applyFill="1" applyBorder="1" applyAlignment="1" applyProtection="1">
      <alignment horizontal="center" vertical="center"/>
      <protection hidden="1"/>
    </xf>
    <xf numFmtId="1" fontId="28" fillId="8" borderId="0" xfId="0" applyNumberFormat="1" applyFont="1" applyFill="1" applyAlignment="1" applyProtection="1">
      <alignment horizontal="center" vertical="center"/>
      <protection locked="0"/>
    </xf>
    <xf numFmtId="0" fontId="0" fillId="9" borderId="0" xfId="0" applyFill="1" applyProtection="1">
      <protection hidden="1"/>
    </xf>
    <xf numFmtId="0" fontId="28" fillId="7" borderId="0" xfId="0" applyFont="1" applyFill="1" applyProtection="1">
      <protection hidden="1"/>
    </xf>
    <xf numFmtId="0" fontId="35" fillId="7" borderId="0" xfId="0" applyFont="1" applyFill="1" applyProtection="1">
      <protection hidden="1"/>
    </xf>
    <xf numFmtId="0" fontId="36" fillId="7" borderId="0" xfId="0" applyFont="1" applyFill="1" applyProtection="1">
      <protection hidden="1"/>
    </xf>
    <xf numFmtId="0" fontId="37" fillId="7" borderId="0" xfId="0" applyFont="1" applyFill="1" applyProtection="1">
      <protection hidden="1"/>
    </xf>
    <xf numFmtId="0" fontId="15" fillId="7" borderId="0" xfId="0" applyFont="1" applyFill="1" applyProtection="1">
      <protection hidden="1"/>
    </xf>
    <xf numFmtId="165" fontId="38" fillId="7" borderId="0" xfId="0" applyNumberFormat="1" applyFont="1" applyFill="1" applyProtection="1">
      <protection hidden="1"/>
    </xf>
    <xf numFmtId="165" fontId="31" fillId="7" borderId="0" xfId="0" applyNumberFormat="1" applyFont="1" applyFill="1" applyProtection="1">
      <protection hidden="1"/>
    </xf>
    <xf numFmtId="165" fontId="16" fillId="7" borderId="0" xfId="0" applyNumberFormat="1" applyFont="1" applyFill="1" applyProtection="1">
      <protection hidden="1"/>
    </xf>
    <xf numFmtId="165" fontId="39" fillId="7" borderId="0" xfId="0" applyNumberFormat="1" applyFont="1" applyFill="1" applyAlignment="1" applyProtection="1">
      <alignment horizontal="center"/>
      <protection hidden="1"/>
    </xf>
    <xf numFmtId="4" fontId="0" fillId="7" borderId="0" xfId="0" applyNumberFormat="1" applyFill="1" applyProtection="1">
      <protection hidden="1"/>
    </xf>
    <xf numFmtId="1" fontId="0" fillId="7" borderId="0" xfId="0" applyNumberFormat="1" applyFill="1" applyProtection="1">
      <protection hidden="1"/>
    </xf>
    <xf numFmtId="0" fontId="40" fillId="7" borderId="0" xfId="0" applyFont="1" applyFill="1" applyProtection="1">
      <protection hidden="1"/>
    </xf>
    <xf numFmtId="1" fontId="41" fillId="7" borderId="0" xfId="0" applyNumberFormat="1" applyFont="1" applyFill="1" applyAlignment="1" applyProtection="1">
      <alignment horizontal="center" vertical="center"/>
      <protection hidden="1"/>
    </xf>
    <xf numFmtId="0" fontId="42" fillId="7" borderId="0" xfId="0" applyFont="1" applyFill="1" applyAlignment="1" applyProtection="1">
      <alignment horizontal="center" vertical="center"/>
      <protection hidden="1"/>
    </xf>
    <xf numFmtId="0" fontId="0" fillId="7" borderId="0" xfId="0" applyFill="1" applyAlignment="1" applyProtection="1">
      <alignment vertical="center"/>
      <protection hidden="1"/>
    </xf>
    <xf numFmtId="0" fontId="28" fillId="7" borderId="4" xfId="0" applyFont="1" applyFill="1" applyBorder="1" applyAlignment="1" applyProtection="1">
      <alignment horizontal="left" vertical="center"/>
      <protection hidden="1"/>
    </xf>
    <xf numFmtId="1" fontId="28" fillId="8" borderId="5" xfId="0" applyNumberFormat="1" applyFont="1" applyFill="1" applyBorder="1" applyAlignment="1" applyProtection="1">
      <alignment horizontal="center" vertical="center"/>
      <protection locked="0"/>
    </xf>
    <xf numFmtId="0" fontId="0" fillId="7" borderId="5" xfId="0" applyFill="1" applyBorder="1" applyAlignment="1" applyProtection="1">
      <alignment horizontal="center" vertical="center"/>
      <protection hidden="1"/>
    </xf>
    <xf numFmtId="165" fontId="28" fillId="8" borderId="5" xfId="0" applyNumberFormat="1" applyFont="1" applyFill="1" applyBorder="1" applyAlignment="1" applyProtection="1">
      <alignment horizontal="center" vertical="center"/>
      <protection locked="0"/>
    </xf>
    <xf numFmtId="10" fontId="28" fillId="8" borderId="5" xfId="0" applyNumberFormat="1" applyFont="1" applyFill="1" applyBorder="1" applyAlignment="1" applyProtection="1">
      <alignment horizontal="center" vertical="center"/>
      <protection locked="0"/>
    </xf>
    <xf numFmtId="10" fontId="28" fillId="8" borderId="18" xfId="0" applyNumberFormat="1" applyFont="1" applyFill="1" applyBorder="1" applyAlignment="1" applyProtection="1">
      <alignment horizontal="center" vertical="center"/>
      <protection locked="0"/>
    </xf>
    <xf numFmtId="1" fontId="27" fillId="7" borderId="19" xfId="0" applyNumberFormat="1" applyFont="1" applyFill="1" applyBorder="1" applyAlignment="1" applyProtection="1">
      <alignment horizontal="center" vertical="center"/>
      <protection hidden="1"/>
    </xf>
    <xf numFmtId="1" fontId="27" fillId="7" borderId="20" xfId="0" applyNumberFormat="1" applyFont="1" applyFill="1" applyBorder="1" applyAlignment="1" applyProtection="1">
      <alignment horizontal="center" vertical="center"/>
      <protection hidden="1"/>
    </xf>
    <xf numFmtId="1" fontId="28" fillId="8" borderId="19" xfId="0" applyNumberFormat="1" applyFont="1" applyFill="1" applyBorder="1" applyAlignment="1" applyProtection="1">
      <alignment horizontal="center" vertical="center"/>
      <protection locked="0"/>
    </xf>
    <xf numFmtId="1" fontId="28" fillId="8" borderId="20" xfId="0" applyNumberFormat="1" applyFont="1" applyFill="1" applyBorder="1" applyAlignment="1" applyProtection="1">
      <alignment horizontal="center" vertical="center"/>
      <protection locked="0"/>
    </xf>
    <xf numFmtId="0" fontId="43" fillId="7" borderId="0" xfId="0" applyFont="1" applyFill="1" applyProtection="1">
      <protection hidden="1"/>
    </xf>
    <xf numFmtId="1" fontId="44" fillId="7" borderId="21" xfId="0" applyNumberFormat="1" applyFont="1" applyFill="1" applyBorder="1" applyAlignment="1" applyProtection="1">
      <alignment horizontal="center" vertical="center"/>
      <protection hidden="1"/>
    </xf>
    <xf numFmtId="1" fontId="44" fillId="7" borderId="19" xfId="0" applyNumberFormat="1" applyFont="1" applyFill="1" applyBorder="1" applyAlignment="1" applyProtection="1">
      <alignment horizontal="center" vertical="center"/>
      <protection hidden="1"/>
    </xf>
    <xf numFmtId="1" fontId="44" fillId="7" borderId="22" xfId="0" applyNumberFormat="1" applyFont="1" applyFill="1" applyBorder="1" applyAlignment="1" applyProtection="1">
      <alignment horizontal="center" vertical="center"/>
      <protection hidden="1"/>
    </xf>
    <xf numFmtId="1" fontId="44" fillId="7" borderId="0" xfId="0" applyNumberFormat="1" applyFont="1" applyFill="1" applyAlignment="1" applyProtection="1">
      <alignment horizontal="center" vertical="center"/>
      <protection hidden="1"/>
    </xf>
    <xf numFmtId="10" fontId="45" fillId="7" borderId="18" xfId="3" applyNumberFormat="1" applyFont="1" applyFill="1" applyBorder="1" applyAlignment="1" applyProtection="1">
      <alignment horizontal="center" vertical="center"/>
      <protection hidden="1"/>
    </xf>
    <xf numFmtId="165" fontId="34" fillId="7" borderId="22" xfId="0" applyNumberFormat="1" applyFont="1" applyFill="1" applyBorder="1" applyAlignment="1" applyProtection="1">
      <alignment horizontal="center" vertical="center"/>
      <protection hidden="1"/>
    </xf>
    <xf numFmtId="165" fontId="46" fillId="7" borderId="23" xfId="0" applyNumberFormat="1" applyFont="1" applyFill="1" applyBorder="1" applyAlignment="1" applyProtection="1">
      <alignment horizontal="center" vertical="center"/>
      <protection hidden="1"/>
    </xf>
    <xf numFmtId="165" fontId="46" fillId="7" borderId="24" xfId="0" applyNumberFormat="1" applyFont="1" applyFill="1" applyBorder="1" applyAlignment="1" applyProtection="1">
      <alignment horizontal="center" vertical="center"/>
      <protection hidden="1"/>
    </xf>
    <xf numFmtId="165" fontId="46" fillId="7" borderId="25" xfId="0" applyNumberFormat="1" applyFont="1" applyFill="1" applyBorder="1" applyAlignment="1" applyProtection="1">
      <alignment horizontal="center" vertical="center"/>
      <protection hidden="1"/>
    </xf>
    <xf numFmtId="165" fontId="34" fillId="7" borderId="26" xfId="0" applyNumberFormat="1" applyFont="1" applyFill="1" applyBorder="1" applyAlignment="1" applyProtection="1">
      <alignment horizontal="center" vertical="center"/>
      <protection hidden="1"/>
    </xf>
    <xf numFmtId="165" fontId="34" fillId="7" borderId="27" xfId="0" applyNumberFormat="1" applyFont="1" applyFill="1" applyBorder="1" applyAlignment="1" applyProtection="1">
      <alignment horizontal="center" vertical="center"/>
      <protection hidden="1"/>
    </xf>
    <xf numFmtId="165" fontId="34" fillId="7" borderId="28" xfId="0" applyNumberFormat="1" applyFont="1" applyFill="1" applyBorder="1" applyAlignment="1" applyProtection="1">
      <alignment horizontal="center" vertical="center"/>
      <protection hidden="1"/>
    </xf>
    <xf numFmtId="165" fontId="46" fillId="7" borderId="29" xfId="0" applyNumberFormat="1" applyFont="1" applyFill="1" applyBorder="1" applyAlignment="1" applyProtection="1">
      <alignment horizontal="center" vertical="center"/>
      <protection hidden="1"/>
    </xf>
    <xf numFmtId="165" fontId="46" fillId="7" borderId="30" xfId="0" applyNumberFormat="1" applyFont="1" applyFill="1" applyBorder="1" applyAlignment="1" applyProtection="1">
      <alignment horizontal="center" vertical="center"/>
      <protection hidden="1"/>
    </xf>
    <xf numFmtId="165" fontId="46" fillId="7" borderId="31" xfId="0" applyNumberFormat="1" applyFont="1" applyFill="1" applyBorder="1" applyAlignment="1" applyProtection="1">
      <alignment horizontal="center" vertical="center"/>
      <protection hidden="1"/>
    </xf>
    <xf numFmtId="1" fontId="47" fillId="7" borderId="32" xfId="0" applyNumberFormat="1" applyFont="1" applyFill="1" applyBorder="1" applyAlignment="1" applyProtection="1">
      <alignment horizontal="center" vertical="center"/>
      <protection hidden="1"/>
    </xf>
    <xf numFmtId="1" fontId="47" fillId="7" borderId="33" xfId="0" applyNumberFormat="1" applyFont="1" applyFill="1" applyBorder="1" applyAlignment="1" applyProtection="1">
      <alignment horizontal="center" vertical="center"/>
      <protection hidden="1"/>
    </xf>
    <xf numFmtId="165" fontId="16" fillId="7" borderId="0" xfId="0" applyNumberFormat="1" applyFont="1" applyFill="1" applyAlignment="1" applyProtection="1">
      <alignment horizontal="center" vertical="center"/>
      <protection hidden="1"/>
    </xf>
    <xf numFmtId="165" fontId="20" fillId="10" borderId="0" xfId="0" applyNumberFormat="1" applyFont="1" applyFill="1" applyProtection="1">
      <protection hidden="1"/>
    </xf>
    <xf numFmtId="165" fontId="16" fillId="10" borderId="0" xfId="0" applyNumberFormat="1" applyFont="1" applyFill="1" applyProtection="1">
      <protection hidden="1"/>
    </xf>
    <xf numFmtId="165" fontId="20" fillId="7" borderId="0" xfId="0" applyNumberFormat="1" applyFont="1" applyFill="1" applyProtection="1">
      <protection hidden="1"/>
    </xf>
    <xf numFmtId="0" fontId="48" fillId="7" borderId="0" xfId="0" applyFont="1" applyFill="1" applyAlignment="1" applyProtection="1">
      <alignment vertical="center"/>
      <protection hidden="1"/>
    </xf>
    <xf numFmtId="0" fontId="49" fillId="7" borderId="0" xfId="0" applyFont="1" applyFill="1" applyAlignment="1" applyProtection="1">
      <alignment vertical="center"/>
      <protection hidden="1"/>
    </xf>
    <xf numFmtId="3" fontId="8" fillId="4" borderId="34" xfId="2" applyNumberFormat="1" applyFont="1" applyFill="1" applyBorder="1" applyProtection="1">
      <protection hidden="1"/>
    </xf>
    <xf numFmtId="10" fontId="8" fillId="4" borderId="34" xfId="2" applyNumberFormat="1" applyFont="1" applyFill="1" applyBorder="1" applyProtection="1">
      <protection hidden="1"/>
    </xf>
    <xf numFmtId="0" fontId="8" fillId="4" borderId="34" xfId="2" applyFont="1" applyFill="1" applyBorder="1" applyProtection="1">
      <protection hidden="1"/>
    </xf>
    <xf numFmtId="0" fontId="1" fillId="4" borderId="34" xfId="2" applyFill="1" applyBorder="1" applyProtection="1">
      <protection hidden="1"/>
    </xf>
    <xf numFmtId="10" fontId="1" fillId="4" borderId="34" xfId="2" applyNumberFormat="1" applyFill="1" applyBorder="1" applyProtection="1">
      <protection hidden="1"/>
    </xf>
    <xf numFmtId="14" fontId="1" fillId="4" borderId="34" xfId="2" applyNumberFormat="1" applyFill="1" applyBorder="1" applyProtection="1">
      <protection hidden="1"/>
    </xf>
    <xf numFmtId="165" fontId="0" fillId="8" borderId="10" xfId="0" applyNumberFormat="1" applyFill="1" applyBorder="1" applyAlignment="1" applyProtection="1">
      <alignment horizontal="center"/>
      <protection locked="0"/>
    </xf>
    <xf numFmtId="165" fontId="0" fillId="10" borderId="10" xfId="0" applyNumberFormat="1" applyFill="1" applyBorder="1" applyAlignment="1" applyProtection="1">
      <alignment horizontal="center"/>
      <protection hidden="1"/>
    </xf>
    <xf numFmtId="0" fontId="25" fillId="10" borderId="5" xfId="0" applyFont="1" applyFill="1" applyBorder="1" applyAlignment="1" applyProtection="1">
      <alignment horizontal="center"/>
      <protection hidden="1"/>
    </xf>
    <xf numFmtId="0" fontId="0" fillId="10" borderId="10" xfId="0" applyFill="1" applyBorder="1" applyAlignment="1" applyProtection="1">
      <alignment horizontal="center"/>
      <protection hidden="1"/>
    </xf>
    <xf numFmtId="0" fontId="16" fillId="10" borderId="5" xfId="0" applyFont="1" applyFill="1" applyBorder="1" applyProtection="1">
      <protection hidden="1"/>
    </xf>
    <xf numFmtId="0" fontId="14" fillId="7" borderId="0" xfId="0" applyFont="1" applyFill="1" applyProtection="1">
      <protection hidden="1"/>
    </xf>
    <xf numFmtId="1" fontId="14" fillId="7" borderId="0" xfId="0" applyNumberFormat="1" applyFont="1" applyFill="1" applyProtection="1">
      <protection hidden="1"/>
    </xf>
    <xf numFmtId="9" fontId="14" fillId="7" borderId="0" xfId="3" applyFont="1" applyFill="1" applyBorder="1" applyProtection="1">
      <protection hidden="1"/>
    </xf>
    <xf numFmtId="0" fontId="17" fillId="7" borderId="0" xfId="0" applyFont="1" applyFill="1" applyAlignment="1" applyProtection="1">
      <alignment vertical="center" wrapText="1"/>
      <protection hidden="1"/>
    </xf>
    <xf numFmtId="0" fontId="14" fillId="7" borderId="0" xfId="0" applyFont="1" applyFill="1" applyAlignment="1" applyProtection="1">
      <alignment vertical="center" wrapText="1"/>
      <protection hidden="1"/>
    </xf>
    <xf numFmtId="0" fontId="14" fillId="7" borderId="0" xfId="0" applyFont="1" applyFill="1" applyAlignment="1" applyProtection="1">
      <alignment horizontal="center" vertical="center"/>
      <protection hidden="1"/>
    </xf>
    <xf numFmtId="4" fontId="14" fillId="7" borderId="0" xfId="0" applyNumberFormat="1" applyFont="1" applyFill="1" applyAlignment="1" applyProtection="1">
      <alignment horizontal="center" vertical="center"/>
      <protection hidden="1"/>
    </xf>
    <xf numFmtId="10" fontId="14" fillId="7" borderId="0" xfId="0" applyNumberFormat="1" applyFont="1" applyFill="1" applyProtection="1">
      <protection hidden="1"/>
    </xf>
    <xf numFmtId="165" fontId="16" fillId="7" borderId="4" xfId="0" applyNumberFormat="1" applyFont="1" applyFill="1" applyBorder="1" applyAlignment="1" applyProtection="1">
      <alignment horizontal="left" vertical="center"/>
      <protection hidden="1"/>
    </xf>
    <xf numFmtId="165" fontId="31" fillId="7" borderId="5" xfId="0" applyNumberFormat="1" applyFont="1" applyFill="1" applyBorder="1" applyAlignment="1" applyProtection="1">
      <alignment horizontal="center" vertical="center"/>
      <protection hidden="1"/>
    </xf>
    <xf numFmtId="165" fontId="20" fillId="10" borderId="16" xfId="0" applyNumberFormat="1" applyFont="1" applyFill="1" applyBorder="1" applyAlignment="1" applyProtection="1">
      <alignment horizontal="left" vertical="center"/>
      <protection hidden="1"/>
    </xf>
    <xf numFmtId="165" fontId="20" fillId="10" borderId="17" xfId="0" applyNumberFormat="1" applyFont="1" applyFill="1" applyBorder="1" applyAlignment="1" applyProtection="1">
      <alignment horizontal="left" vertical="center"/>
      <protection hidden="1"/>
    </xf>
    <xf numFmtId="165" fontId="20" fillId="10" borderId="18" xfId="0" applyNumberFormat="1" applyFont="1" applyFill="1" applyBorder="1" applyAlignment="1" applyProtection="1">
      <alignment horizontal="left" vertical="center"/>
      <protection hidden="1"/>
    </xf>
    <xf numFmtId="0" fontId="50" fillId="7" borderId="4" xfId="0" applyFont="1" applyFill="1" applyBorder="1" applyAlignment="1" applyProtection="1">
      <alignment horizontal="center"/>
      <protection hidden="1"/>
    </xf>
    <xf numFmtId="0" fontId="29" fillId="7" borderId="5" xfId="0" applyFont="1" applyFill="1" applyBorder="1" applyAlignment="1" applyProtection="1">
      <alignment horizontal="center"/>
      <protection hidden="1"/>
    </xf>
    <xf numFmtId="0" fontId="25" fillId="7" borderId="4" xfId="0" applyFont="1" applyFill="1" applyBorder="1" applyProtection="1">
      <protection hidden="1"/>
    </xf>
    <xf numFmtId="1" fontId="41" fillId="7" borderId="5" xfId="0" applyNumberFormat="1" applyFont="1" applyFill="1" applyBorder="1" applyAlignment="1" applyProtection="1">
      <alignment horizontal="center" vertical="center"/>
      <protection hidden="1"/>
    </xf>
    <xf numFmtId="1" fontId="26" fillId="7" borderId="5" xfId="0" applyNumberFormat="1" applyFont="1" applyFill="1" applyBorder="1" applyAlignment="1" applyProtection="1">
      <alignment horizontal="center" vertical="center"/>
      <protection hidden="1"/>
    </xf>
    <xf numFmtId="1" fontId="27" fillId="7" borderId="35" xfId="0" applyNumberFormat="1" applyFont="1" applyFill="1" applyBorder="1" applyAlignment="1" applyProtection="1">
      <alignment horizontal="center" vertical="center"/>
      <protection hidden="1"/>
    </xf>
    <xf numFmtId="1" fontId="27" fillId="7" borderId="5" xfId="0" applyNumberFormat="1" applyFont="1" applyFill="1" applyBorder="1" applyAlignment="1" applyProtection="1">
      <alignment horizontal="center" vertical="center"/>
      <protection hidden="1"/>
    </xf>
    <xf numFmtId="0" fontId="27" fillId="7" borderId="5" xfId="0" applyFont="1" applyFill="1" applyBorder="1" applyAlignment="1" applyProtection="1">
      <alignment horizontal="center" vertical="center"/>
      <protection hidden="1"/>
    </xf>
    <xf numFmtId="1" fontId="27" fillId="7" borderId="36" xfId="0" applyNumberFormat="1" applyFont="1" applyFill="1" applyBorder="1" applyAlignment="1" applyProtection="1">
      <alignment horizontal="center" vertical="center"/>
      <protection hidden="1"/>
    </xf>
    <xf numFmtId="1" fontId="44" fillId="7" borderId="35" xfId="0" applyNumberFormat="1" applyFont="1" applyFill="1" applyBorder="1" applyAlignment="1" applyProtection="1">
      <alignment horizontal="center" vertical="center"/>
      <protection hidden="1"/>
    </xf>
    <xf numFmtId="1" fontId="44" fillId="7" borderId="5" xfId="0" applyNumberFormat="1" applyFont="1" applyFill="1" applyBorder="1" applyAlignment="1" applyProtection="1">
      <alignment horizontal="center" vertical="center"/>
      <protection hidden="1"/>
    </xf>
    <xf numFmtId="165" fontId="33" fillId="7" borderId="4" xfId="0" applyNumberFormat="1" applyFont="1" applyFill="1" applyBorder="1" applyAlignment="1" applyProtection="1">
      <alignment horizontal="center" vertical="center"/>
      <protection hidden="1"/>
    </xf>
    <xf numFmtId="165" fontId="33" fillId="7" borderId="5" xfId="0" applyNumberFormat="1" applyFont="1" applyFill="1" applyBorder="1" applyAlignment="1" applyProtection="1">
      <alignment horizontal="center" vertical="center"/>
      <protection hidden="1"/>
    </xf>
    <xf numFmtId="165" fontId="29" fillId="7" borderId="4" xfId="0" applyNumberFormat="1" applyFont="1" applyFill="1" applyBorder="1" applyAlignment="1" applyProtection="1">
      <alignment horizontal="center" vertical="center"/>
      <protection hidden="1"/>
    </xf>
    <xf numFmtId="165" fontId="29" fillId="7" borderId="5" xfId="0" applyNumberFormat="1" applyFont="1" applyFill="1" applyBorder="1" applyAlignment="1" applyProtection="1">
      <alignment horizontal="center" vertical="center"/>
      <protection hidden="1"/>
    </xf>
    <xf numFmtId="165" fontId="31" fillId="7" borderId="4" xfId="0" applyNumberFormat="1" applyFont="1" applyFill="1" applyBorder="1" applyAlignment="1" applyProtection="1">
      <alignment horizontal="center" vertical="center"/>
      <protection hidden="1"/>
    </xf>
    <xf numFmtId="165" fontId="39" fillId="7" borderId="5" xfId="0" applyNumberFormat="1" applyFont="1" applyFill="1" applyBorder="1" applyAlignment="1" applyProtection="1">
      <alignment horizontal="center"/>
      <protection hidden="1"/>
    </xf>
    <xf numFmtId="165" fontId="46" fillId="7" borderId="0" xfId="0" applyNumberFormat="1" applyFont="1" applyFill="1" applyAlignment="1" applyProtection="1">
      <alignment horizontal="center" vertical="center"/>
      <protection hidden="1"/>
    </xf>
    <xf numFmtId="0" fontId="51" fillId="7" borderId="0" xfId="1" applyFont="1" applyFill="1" applyBorder="1" applyAlignment="1" applyProtection="1">
      <alignment vertical="center"/>
      <protection locked="0" hidden="1"/>
    </xf>
    <xf numFmtId="0" fontId="52" fillId="7" borderId="0" xfId="2" applyFont="1" applyFill="1" applyProtection="1">
      <protection hidden="1"/>
    </xf>
    <xf numFmtId="0" fontId="3" fillId="2" borderId="37" xfId="2" applyFont="1" applyFill="1" applyBorder="1" applyProtection="1">
      <protection hidden="1"/>
    </xf>
    <xf numFmtId="4" fontId="53" fillId="7" borderId="0" xfId="2" applyNumberFormat="1" applyFont="1" applyFill="1" applyProtection="1">
      <protection hidden="1"/>
    </xf>
    <xf numFmtId="4" fontId="52" fillId="7" borderId="0" xfId="2" applyNumberFormat="1" applyFont="1" applyFill="1" applyProtection="1">
      <protection hidden="1"/>
    </xf>
    <xf numFmtId="164" fontId="52" fillId="7" borderId="0" xfId="2" applyNumberFormat="1" applyFont="1" applyFill="1" applyProtection="1">
      <protection hidden="1"/>
    </xf>
    <xf numFmtId="164" fontId="53" fillId="7" borderId="0" xfId="2" applyNumberFormat="1" applyFont="1" applyFill="1" applyAlignment="1" applyProtection="1">
      <alignment horizontal="center"/>
      <protection hidden="1"/>
    </xf>
    <xf numFmtId="0" fontId="0" fillId="9" borderId="4" xfId="0" applyFill="1" applyBorder="1" applyProtection="1">
      <protection hidden="1"/>
    </xf>
    <xf numFmtId="0" fontId="0" fillId="9" borderId="5" xfId="0" applyFill="1" applyBorder="1" applyProtection="1">
      <protection hidden="1"/>
    </xf>
    <xf numFmtId="165" fontId="16" fillId="7" borderId="38" xfId="0" applyNumberFormat="1" applyFont="1" applyFill="1" applyBorder="1" applyAlignment="1" applyProtection="1">
      <alignment horizontal="left" vertical="center"/>
      <protection hidden="1"/>
    </xf>
    <xf numFmtId="165" fontId="31" fillId="7" borderId="39" xfId="0" applyNumberFormat="1" applyFont="1" applyFill="1" applyBorder="1" applyAlignment="1" applyProtection="1">
      <alignment horizontal="center" vertical="center"/>
      <protection hidden="1"/>
    </xf>
    <xf numFmtId="0" fontId="43" fillId="7" borderId="39" xfId="0" applyFont="1" applyFill="1" applyBorder="1" applyAlignment="1" applyProtection="1">
      <alignment horizontal="center" vertical="center"/>
      <protection hidden="1"/>
    </xf>
    <xf numFmtId="165" fontId="31" fillId="7" borderId="40" xfId="0" applyNumberFormat="1" applyFont="1" applyFill="1" applyBorder="1" applyAlignment="1" applyProtection="1">
      <alignment horizontal="center" vertical="center"/>
      <protection hidden="1"/>
    </xf>
    <xf numFmtId="165" fontId="20" fillId="10" borderId="0" xfId="0" applyNumberFormat="1" applyFont="1" applyFill="1" applyAlignment="1" applyProtection="1">
      <alignment horizontal="center" vertical="center"/>
      <protection hidden="1"/>
    </xf>
    <xf numFmtId="165" fontId="20" fillId="10" borderId="5" xfId="0" applyNumberFormat="1" applyFont="1" applyFill="1" applyBorder="1" applyAlignment="1" applyProtection="1">
      <alignment horizontal="center" vertical="center"/>
      <protection hidden="1"/>
    </xf>
    <xf numFmtId="165" fontId="34" fillId="7" borderId="41" xfId="0" applyNumberFormat="1" applyFont="1" applyFill="1" applyBorder="1" applyAlignment="1" applyProtection="1">
      <alignment horizontal="center" vertical="center"/>
      <protection hidden="1"/>
    </xf>
    <xf numFmtId="165" fontId="34" fillId="7" borderId="20" xfId="0" applyNumberFormat="1" applyFont="1" applyFill="1" applyBorder="1" applyAlignment="1" applyProtection="1">
      <alignment horizontal="center" vertical="center"/>
      <protection hidden="1"/>
    </xf>
    <xf numFmtId="165" fontId="34" fillId="7" borderId="36" xfId="0" applyNumberFormat="1" applyFont="1" applyFill="1" applyBorder="1" applyAlignment="1" applyProtection="1">
      <alignment horizontal="center" vertical="center"/>
      <protection hidden="1"/>
    </xf>
    <xf numFmtId="165" fontId="16" fillId="7" borderId="4" xfId="0" applyNumberFormat="1" applyFont="1" applyFill="1" applyBorder="1" applyAlignment="1" applyProtection="1">
      <alignment vertical="center"/>
      <protection hidden="1"/>
    </xf>
    <xf numFmtId="10" fontId="20" fillId="10" borderId="17" xfId="0" applyNumberFormat="1" applyFont="1" applyFill="1" applyBorder="1" applyAlignment="1" applyProtection="1">
      <alignment horizontal="left" vertical="center"/>
      <protection hidden="1"/>
    </xf>
    <xf numFmtId="1" fontId="47" fillId="7" borderId="42" xfId="0" applyNumberFormat="1" applyFont="1" applyFill="1" applyBorder="1" applyAlignment="1" applyProtection="1">
      <alignment horizontal="center" vertical="center"/>
      <protection hidden="1"/>
    </xf>
    <xf numFmtId="165" fontId="54" fillId="7" borderId="17" xfId="0" applyNumberFormat="1" applyFont="1" applyFill="1" applyBorder="1" applyAlignment="1" applyProtection="1">
      <alignment horizontal="center" vertical="center"/>
      <protection hidden="1"/>
    </xf>
    <xf numFmtId="165" fontId="55" fillId="7" borderId="0" xfId="0" applyNumberFormat="1" applyFont="1" applyFill="1" applyAlignment="1" applyProtection="1">
      <alignment vertical="center"/>
      <protection hidden="1"/>
    </xf>
    <xf numFmtId="0" fontId="28" fillId="7" borderId="38" xfId="0" applyFont="1" applyFill="1" applyBorder="1" applyProtection="1">
      <protection hidden="1"/>
    </xf>
    <xf numFmtId="0" fontId="0" fillId="7" borderId="39" xfId="0" applyFill="1" applyBorder="1" applyProtection="1">
      <protection hidden="1"/>
    </xf>
    <xf numFmtId="0" fontId="28" fillId="7" borderId="16" xfId="0" applyFont="1" applyFill="1" applyBorder="1" applyProtection="1">
      <protection hidden="1"/>
    </xf>
    <xf numFmtId="1" fontId="28" fillId="8" borderId="40" xfId="0" applyNumberFormat="1" applyFont="1" applyFill="1" applyBorder="1" applyAlignment="1" applyProtection="1">
      <alignment horizontal="center" vertical="center"/>
      <protection locked="0"/>
    </xf>
    <xf numFmtId="1" fontId="28" fillId="8" borderId="18" xfId="0" applyNumberFormat="1" applyFont="1" applyFill="1" applyBorder="1" applyAlignment="1" applyProtection="1">
      <alignment horizontal="center" vertical="center"/>
      <protection locked="0"/>
    </xf>
    <xf numFmtId="0" fontId="14" fillId="7" borderId="0" xfId="0" quotePrefix="1" applyFont="1" applyFill="1" applyProtection="1">
      <protection hidden="1"/>
    </xf>
    <xf numFmtId="165" fontId="56" fillId="7" borderId="20" xfId="0" applyNumberFormat="1" applyFont="1" applyFill="1" applyBorder="1" applyAlignment="1" applyProtection="1">
      <alignment horizontal="center" vertical="center"/>
      <protection hidden="1"/>
    </xf>
    <xf numFmtId="165" fontId="56" fillId="7" borderId="41" xfId="0" applyNumberFormat="1" applyFont="1" applyFill="1" applyBorder="1" applyAlignment="1" applyProtection="1">
      <alignment horizontal="center" vertical="center"/>
      <protection hidden="1"/>
    </xf>
    <xf numFmtId="165" fontId="56" fillId="7" borderId="36" xfId="0" applyNumberFormat="1" applyFont="1" applyFill="1" applyBorder="1" applyAlignment="1" applyProtection="1">
      <alignment horizontal="center" vertical="center"/>
      <protection hidden="1"/>
    </xf>
    <xf numFmtId="0" fontId="14" fillId="7" borderId="0" xfId="0" applyFont="1" applyFill="1" applyAlignment="1" applyProtection="1">
      <alignment horizontal="center"/>
      <protection hidden="1"/>
    </xf>
    <xf numFmtId="1" fontId="57" fillId="8" borderId="5" xfId="0" applyNumberFormat="1" applyFont="1" applyFill="1" applyBorder="1" applyAlignment="1" applyProtection="1">
      <alignment horizontal="center" vertical="center"/>
      <protection locked="0"/>
    </xf>
    <xf numFmtId="0" fontId="14" fillId="7" borderId="0" xfId="0" applyFont="1" applyFill="1" applyProtection="1">
      <protection locked="0" hidden="1"/>
    </xf>
    <xf numFmtId="0" fontId="26" fillId="7" borderId="4" xfId="0" applyFont="1" applyFill="1" applyBorder="1" applyAlignment="1" applyProtection="1">
      <alignment horizontal="center" vertical="center"/>
      <protection hidden="1"/>
    </xf>
    <xf numFmtId="0" fontId="26" fillId="7" borderId="0" xfId="0" applyFont="1" applyFill="1" applyAlignment="1" applyProtection="1">
      <alignment horizontal="center" vertical="center"/>
      <protection hidden="1"/>
    </xf>
    <xf numFmtId="0" fontId="41" fillId="7" borderId="43" xfId="0" applyFont="1" applyFill="1" applyBorder="1" applyAlignment="1" applyProtection="1">
      <alignment horizontal="center" vertical="center"/>
      <protection hidden="1"/>
    </xf>
    <xf numFmtId="0" fontId="41" fillId="7" borderId="19" xfId="0" applyFont="1" applyFill="1" applyBorder="1" applyAlignment="1" applyProtection="1">
      <alignment horizontal="center" vertical="center"/>
      <protection hidden="1"/>
    </xf>
    <xf numFmtId="0" fontId="41" fillId="7" borderId="44" xfId="0" applyFont="1" applyFill="1" applyBorder="1" applyAlignment="1" applyProtection="1">
      <alignment horizontal="center" vertical="center"/>
      <protection hidden="1"/>
    </xf>
    <xf numFmtId="0" fontId="58" fillId="7" borderId="4" xfId="0" applyFont="1" applyFill="1" applyBorder="1" applyAlignment="1" applyProtection="1">
      <alignment horizontal="center" vertical="center" wrapText="1"/>
      <protection hidden="1"/>
    </xf>
    <xf numFmtId="0" fontId="58" fillId="7" borderId="0" xfId="0" applyFont="1" applyFill="1" applyAlignment="1" applyProtection="1">
      <alignment horizontal="center" vertical="center" wrapText="1"/>
      <protection hidden="1"/>
    </xf>
    <xf numFmtId="0" fontId="59" fillId="9" borderId="11" xfId="0" applyFont="1" applyFill="1" applyBorder="1" applyAlignment="1" applyProtection="1">
      <alignment horizontal="center" vertical="center"/>
      <protection hidden="1"/>
    </xf>
    <xf numFmtId="0" fontId="59" fillId="9" borderId="45" xfId="0" applyFont="1" applyFill="1" applyBorder="1" applyAlignment="1" applyProtection="1">
      <alignment horizontal="center" vertical="center"/>
      <protection hidden="1"/>
    </xf>
    <xf numFmtId="0" fontId="59" fillId="9" borderId="46" xfId="0" applyFont="1" applyFill="1" applyBorder="1" applyAlignment="1" applyProtection="1">
      <alignment horizontal="center" vertical="center"/>
      <protection hidden="1"/>
    </xf>
    <xf numFmtId="165" fontId="54" fillId="7" borderId="47" xfId="0" applyNumberFormat="1" applyFont="1" applyFill="1" applyBorder="1" applyAlignment="1" applyProtection="1">
      <alignment horizontal="center" vertical="center"/>
      <protection hidden="1"/>
    </xf>
    <xf numFmtId="165" fontId="54" fillId="7" borderId="48" xfId="0" applyNumberFormat="1" applyFont="1" applyFill="1" applyBorder="1" applyAlignment="1" applyProtection="1">
      <alignment horizontal="center" vertical="center"/>
      <protection hidden="1"/>
    </xf>
    <xf numFmtId="165" fontId="54" fillId="7" borderId="49" xfId="0" applyNumberFormat="1" applyFont="1" applyFill="1" applyBorder="1" applyAlignment="1" applyProtection="1">
      <alignment horizontal="center" vertical="center"/>
      <protection hidden="1"/>
    </xf>
    <xf numFmtId="0" fontId="44" fillId="7" borderId="43" xfId="0" applyFont="1" applyFill="1" applyBorder="1" applyAlignment="1" applyProtection="1">
      <alignment horizontal="center" vertical="center"/>
      <protection hidden="1"/>
    </xf>
    <xf numFmtId="0" fontId="44" fillId="7" borderId="19" xfId="0" applyFont="1" applyFill="1" applyBorder="1" applyAlignment="1" applyProtection="1">
      <alignment horizontal="center" vertical="center"/>
      <protection hidden="1"/>
    </xf>
    <xf numFmtId="0" fontId="44" fillId="7" borderId="44" xfId="0" applyFont="1" applyFill="1" applyBorder="1" applyAlignment="1" applyProtection="1">
      <alignment horizontal="center" vertical="center"/>
      <protection hidden="1"/>
    </xf>
    <xf numFmtId="0" fontId="44" fillId="7" borderId="4" xfId="0" applyFont="1" applyFill="1" applyBorder="1" applyAlignment="1" applyProtection="1">
      <alignment horizontal="center" vertical="center"/>
      <protection hidden="1"/>
    </xf>
    <xf numFmtId="0" fontId="44" fillId="7" borderId="0" xfId="0" applyFont="1" applyFill="1" applyAlignment="1" applyProtection="1">
      <alignment horizontal="center" vertical="center"/>
      <protection hidden="1"/>
    </xf>
    <xf numFmtId="165" fontId="56" fillId="7" borderId="50" xfId="0" applyNumberFormat="1" applyFont="1" applyFill="1" applyBorder="1" applyAlignment="1" applyProtection="1">
      <alignment horizontal="center" vertical="center"/>
      <protection hidden="1"/>
    </xf>
    <xf numFmtId="165" fontId="56" fillId="7" borderId="20" xfId="0" applyNumberFormat="1" applyFont="1" applyFill="1" applyBorder="1" applyAlignment="1" applyProtection="1">
      <alignment horizontal="center" vertical="center"/>
      <protection hidden="1"/>
    </xf>
    <xf numFmtId="165" fontId="56" fillId="7" borderId="51" xfId="0" applyNumberFormat="1" applyFont="1" applyFill="1" applyBorder="1" applyAlignment="1" applyProtection="1">
      <alignment horizontal="center" vertical="center"/>
      <protection hidden="1"/>
    </xf>
    <xf numFmtId="0" fontId="60" fillId="7" borderId="4" xfId="1" applyFont="1" applyFill="1" applyBorder="1" applyAlignment="1" applyProtection="1">
      <alignment horizontal="center"/>
      <protection locked="0" hidden="1"/>
    </xf>
    <xf numFmtId="0" fontId="60" fillId="7" borderId="0" xfId="1" applyFont="1" applyFill="1" applyBorder="1" applyAlignment="1" applyProtection="1">
      <alignment horizontal="center"/>
      <protection locked="0" hidden="1"/>
    </xf>
    <xf numFmtId="0" fontId="60" fillId="7" borderId="5" xfId="1" applyFont="1" applyFill="1" applyBorder="1" applyAlignment="1" applyProtection="1">
      <alignment horizontal="center"/>
      <protection locked="0" hidden="1"/>
    </xf>
    <xf numFmtId="0" fontId="61" fillId="7" borderId="38" xfId="0" applyFont="1" applyFill="1" applyBorder="1" applyAlignment="1" applyProtection="1">
      <alignment horizontal="center" vertical="center"/>
      <protection hidden="1"/>
    </xf>
    <xf numFmtId="0" fontId="61" fillId="7" borderId="39" xfId="0" applyFont="1" applyFill="1" applyBorder="1" applyAlignment="1" applyProtection="1">
      <alignment horizontal="center" vertical="center"/>
      <protection hidden="1"/>
    </xf>
    <xf numFmtId="0" fontId="61" fillId="7" borderId="40" xfId="0" applyFont="1" applyFill="1" applyBorder="1" applyAlignment="1" applyProtection="1">
      <alignment horizontal="center" vertical="center"/>
      <protection hidden="1"/>
    </xf>
    <xf numFmtId="0" fontId="41" fillId="7" borderId="4" xfId="0" applyFont="1" applyFill="1" applyBorder="1" applyAlignment="1" applyProtection="1">
      <alignment horizontal="center" vertical="center"/>
      <protection hidden="1"/>
    </xf>
    <xf numFmtId="0" fontId="41" fillId="7" borderId="0" xfId="0" applyFont="1" applyFill="1" applyAlignment="1" applyProtection="1">
      <alignment horizontal="center" vertical="center"/>
      <protection hidden="1"/>
    </xf>
    <xf numFmtId="0" fontId="41" fillId="7" borderId="52" xfId="0" applyFont="1" applyFill="1" applyBorder="1" applyAlignment="1" applyProtection="1">
      <alignment horizontal="center" vertical="center"/>
      <protection hidden="1"/>
    </xf>
    <xf numFmtId="0" fontId="28" fillId="7" borderId="4" xfId="0" applyFont="1" applyFill="1" applyBorder="1" applyAlignment="1" applyProtection="1">
      <alignment horizontal="center" vertical="center"/>
      <protection hidden="1"/>
    </xf>
    <xf numFmtId="0" fontId="28" fillId="7" borderId="0" xfId="0" applyFont="1" applyFill="1" applyAlignment="1" applyProtection="1">
      <alignment horizontal="center" vertical="center"/>
      <protection hidden="1"/>
    </xf>
    <xf numFmtId="0" fontId="28" fillId="7" borderId="52" xfId="0" applyFont="1" applyFill="1" applyBorder="1" applyAlignment="1" applyProtection="1">
      <alignment horizontal="center" vertical="center"/>
      <protection hidden="1"/>
    </xf>
    <xf numFmtId="0" fontId="28" fillId="7" borderId="50" xfId="0" applyFont="1" applyFill="1" applyBorder="1" applyAlignment="1" applyProtection="1">
      <alignment horizontal="center" vertical="center"/>
      <protection hidden="1"/>
    </xf>
    <xf numFmtId="0" fontId="28" fillId="7" borderId="20" xfId="0" applyFont="1" applyFill="1" applyBorder="1" applyAlignment="1" applyProtection="1">
      <alignment horizontal="center" vertical="center"/>
      <protection hidden="1"/>
    </xf>
    <xf numFmtId="0" fontId="28" fillId="7" borderId="51" xfId="0" applyFont="1" applyFill="1" applyBorder="1" applyAlignment="1" applyProtection="1">
      <alignment horizontal="center" vertical="center"/>
      <protection hidden="1"/>
    </xf>
    <xf numFmtId="0" fontId="39" fillId="7" borderId="4" xfId="0" applyFont="1" applyFill="1" applyBorder="1" applyAlignment="1" applyProtection="1">
      <alignment horizontal="center"/>
      <protection hidden="1"/>
    </xf>
    <xf numFmtId="0" fontId="39" fillId="7" borderId="0" xfId="0" applyFont="1" applyFill="1" applyAlignment="1" applyProtection="1">
      <alignment horizontal="center"/>
      <protection hidden="1"/>
    </xf>
    <xf numFmtId="0" fontId="41" fillId="7" borderId="50" xfId="0" applyFont="1" applyFill="1" applyBorder="1" applyAlignment="1" applyProtection="1">
      <alignment horizontal="center" vertical="center"/>
      <protection hidden="1"/>
    </xf>
    <xf numFmtId="0" fontId="41" fillId="7" borderId="20" xfId="0" applyFont="1" applyFill="1" applyBorder="1" applyAlignment="1" applyProtection="1">
      <alignment horizontal="center" vertical="center"/>
      <protection hidden="1"/>
    </xf>
    <xf numFmtId="0" fontId="41" fillId="7" borderId="51" xfId="0" applyFont="1" applyFill="1" applyBorder="1" applyAlignment="1" applyProtection="1">
      <alignment horizontal="center" vertical="center"/>
      <protection hidden="1"/>
    </xf>
    <xf numFmtId="0" fontId="41" fillId="7" borderId="4" xfId="0" applyFont="1" applyFill="1" applyBorder="1" applyAlignment="1" applyProtection="1">
      <alignment horizontal="center"/>
      <protection hidden="1"/>
    </xf>
    <xf numFmtId="0" fontId="41" fillId="7" borderId="0" xfId="0" applyFont="1" applyFill="1" applyAlignment="1" applyProtection="1">
      <alignment horizontal="center"/>
      <protection hidden="1"/>
    </xf>
    <xf numFmtId="0" fontId="41" fillId="7" borderId="52" xfId="0" applyFont="1" applyFill="1" applyBorder="1" applyAlignment="1" applyProtection="1">
      <alignment horizontal="center"/>
      <protection hidden="1"/>
    </xf>
    <xf numFmtId="165" fontId="0" fillId="7" borderId="4" xfId="0" applyNumberFormat="1" applyFill="1" applyBorder="1" applyAlignment="1" applyProtection="1">
      <alignment horizontal="center" vertical="center" wrapText="1"/>
      <protection hidden="1"/>
    </xf>
    <xf numFmtId="165" fontId="0" fillId="7" borderId="0" xfId="0" applyNumberFormat="1" applyFill="1" applyAlignment="1" applyProtection="1">
      <alignment horizontal="center" vertical="center" wrapText="1"/>
      <protection hidden="1"/>
    </xf>
    <xf numFmtId="165" fontId="20" fillId="10" borderId="4" xfId="0" applyNumberFormat="1" applyFont="1" applyFill="1" applyBorder="1" applyAlignment="1" applyProtection="1">
      <alignment horizontal="center" vertical="center" wrapText="1"/>
      <protection hidden="1"/>
    </xf>
    <xf numFmtId="165" fontId="20" fillId="10" borderId="0" xfId="0" applyNumberFormat="1" applyFont="1" applyFill="1" applyAlignment="1" applyProtection="1">
      <alignment horizontal="center" vertical="center" wrapText="1"/>
      <protection hidden="1"/>
    </xf>
    <xf numFmtId="165" fontId="34" fillId="7" borderId="53" xfId="0" applyNumberFormat="1" applyFont="1" applyFill="1" applyBorder="1" applyAlignment="1" applyProtection="1">
      <alignment horizontal="left" vertical="center" wrapText="1"/>
      <protection hidden="1"/>
    </xf>
    <xf numFmtId="165" fontId="34" fillId="7" borderId="27" xfId="0" applyNumberFormat="1" applyFont="1" applyFill="1" applyBorder="1" applyAlignment="1" applyProtection="1">
      <alignment horizontal="left" vertical="center" wrapText="1"/>
      <protection hidden="1"/>
    </xf>
    <xf numFmtId="165" fontId="34" fillId="7" borderId="54" xfId="0" applyNumberFormat="1" applyFont="1" applyFill="1" applyBorder="1" applyAlignment="1" applyProtection="1">
      <alignment horizontal="left" vertical="center" wrapText="1"/>
      <protection hidden="1"/>
    </xf>
    <xf numFmtId="165" fontId="62" fillId="7" borderId="4" xfId="0" applyNumberFormat="1" applyFont="1" applyFill="1" applyBorder="1" applyAlignment="1" applyProtection="1">
      <alignment horizontal="center"/>
      <protection hidden="1"/>
    </xf>
    <xf numFmtId="165" fontId="62" fillId="7" borderId="0" xfId="0" applyNumberFormat="1" applyFont="1" applyFill="1" applyAlignment="1" applyProtection="1">
      <alignment horizontal="center"/>
      <protection hidden="1"/>
    </xf>
    <xf numFmtId="165" fontId="62" fillId="7" borderId="5" xfId="0" applyNumberFormat="1" applyFont="1" applyFill="1" applyBorder="1" applyAlignment="1" applyProtection="1">
      <alignment horizontal="center"/>
      <protection hidden="1"/>
    </xf>
    <xf numFmtId="1" fontId="47" fillId="7" borderId="55" xfId="0" applyNumberFormat="1" applyFont="1" applyFill="1" applyBorder="1" applyAlignment="1" applyProtection="1">
      <alignment horizontal="center" vertical="center"/>
      <protection hidden="1"/>
    </xf>
    <xf numFmtId="1" fontId="47" fillId="7" borderId="32" xfId="0" applyNumberFormat="1" applyFont="1" applyFill="1" applyBorder="1" applyAlignment="1" applyProtection="1">
      <alignment horizontal="center" vertical="center"/>
      <protection hidden="1"/>
    </xf>
    <xf numFmtId="1" fontId="47" fillId="7" borderId="56" xfId="0" applyNumberFormat="1" applyFont="1" applyFill="1" applyBorder="1" applyAlignment="1" applyProtection="1">
      <alignment horizontal="center" vertical="center"/>
      <protection hidden="1"/>
    </xf>
    <xf numFmtId="165" fontId="46" fillId="7" borderId="4" xfId="0" applyNumberFormat="1" applyFont="1" applyFill="1" applyBorder="1" applyAlignment="1" applyProtection="1">
      <alignment horizontal="left" vertical="center" wrapText="1"/>
      <protection hidden="1"/>
    </xf>
    <xf numFmtId="165" fontId="46" fillId="7" borderId="0" xfId="0" applyNumberFormat="1" applyFont="1" applyFill="1" applyAlignment="1" applyProtection="1">
      <alignment horizontal="left" vertical="center" wrapText="1"/>
      <protection hidden="1"/>
    </xf>
    <xf numFmtId="165" fontId="46" fillId="7" borderId="52" xfId="0" applyNumberFormat="1" applyFont="1" applyFill="1" applyBorder="1" applyAlignment="1" applyProtection="1">
      <alignment horizontal="left" vertical="center" wrapText="1"/>
      <protection hidden="1"/>
    </xf>
    <xf numFmtId="0" fontId="63" fillId="7" borderId="38" xfId="0" applyFont="1" applyFill="1" applyBorder="1" applyAlignment="1" applyProtection="1">
      <alignment horizontal="center" vertical="top"/>
      <protection hidden="1"/>
    </xf>
    <xf numFmtId="0" fontId="63" fillId="7" borderId="39" xfId="0" applyFont="1" applyFill="1" applyBorder="1" applyAlignment="1" applyProtection="1">
      <alignment horizontal="center" vertical="top"/>
      <protection hidden="1"/>
    </xf>
    <xf numFmtId="0" fontId="63" fillId="7" borderId="40" xfId="0" applyFont="1" applyFill="1" applyBorder="1" applyAlignment="1" applyProtection="1">
      <alignment horizontal="center" vertical="top"/>
      <protection hidden="1"/>
    </xf>
    <xf numFmtId="0" fontId="47" fillId="7" borderId="55" xfId="0" applyFont="1" applyFill="1" applyBorder="1" applyAlignment="1" applyProtection="1">
      <alignment horizontal="center" vertical="center"/>
      <protection hidden="1"/>
    </xf>
    <xf numFmtId="0" fontId="47" fillId="7" borderId="32" xfId="0" applyFont="1" applyFill="1" applyBorder="1" applyAlignment="1" applyProtection="1">
      <alignment horizontal="center" vertical="center"/>
      <protection hidden="1"/>
    </xf>
    <xf numFmtId="0" fontId="47" fillId="7" borderId="56" xfId="0" applyFont="1" applyFill="1" applyBorder="1" applyAlignment="1" applyProtection="1">
      <alignment horizontal="center" vertical="center"/>
      <protection hidden="1"/>
    </xf>
    <xf numFmtId="0" fontId="28" fillId="7" borderId="43" xfId="0" applyFont="1" applyFill="1" applyBorder="1" applyAlignment="1" applyProtection="1">
      <alignment horizontal="center" vertical="center"/>
      <protection hidden="1"/>
    </xf>
    <xf numFmtId="0" fontId="28" fillId="7" borderId="19" xfId="0" applyFont="1" applyFill="1" applyBorder="1" applyAlignment="1" applyProtection="1">
      <alignment horizontal="center" vertical="center"/>
      <protection hidden="1"/>
    </xf>
    <xf numFmtId="0" fontId="28" fillId="7" borderId="44" xfId="0" applyFont="1" applyFill="1" applyBorder="1" applyAlignment="1" applyProtection="1">
      <alignment horizontal="center" vertical="center"/>
      <protection hidden="1"/>
    </xf>
    <xf numFmtId="165" fontId="64" fillId="7" borderId="4" xfId="0" applyNumberFormat="1" applyFont="1" applyFill="1" applyBorder="1" applyAlignment="1" applyProtection="1">
      <alignment horizontal="center" vertical="center"/>
      <protection hidden="1"/>
    </xf>
    <xf numFmtId="165" fontId="64" fillId="7" borderId="0" xfId="0" applyNumberFormat="1" applyFont="1" applyFill="1" applyAlignment="1" applyProtection="1">
      <alignment horizontal="center" vertical="center"/>
      <protection hidden="1"/>
    </xf>
    <xf numFmtId="165" fontId="64" fillId="7" borderId="5" xfId="0" applyNumberFormat="1" applyFont="1" applyFill="1" applyBorder="1" applyAlignment="1" applyProtection="1">
      <alignment horizontal="center" vertical="center"/>
      <protection hidden="1"/>
    </xf>
    <xf numFmtId="0" fontId="58" fillId="7" borderId="0" xfId="0" applyFont="1" applyFill="1" applyAlignment="1" applyProtection="1">
      <alignment horizontal="center" wrapText="1"/>
      <protection hidden="1"/>
    </xf>
    <xf numFmtId="0" fontId="58" fillId="7" borderId="5" xfId="0" applyFont="1" applyFill="1" applyBorder="1" applyAlignment="1" applyProtection="1">
      <alignment horizontal="center" wrapText="1"/>
      <protection hidden="1"/>
    </xf>
    <xf numFmtId="0" fontId="45" fillId="7" borderId="16" xfId="0" applyFont="1" applyFill="1" applyBorder="1" applyAlignment="1" applyProtection="1">
      <alignment horizontal="center"/>
      <protection hidden="1"/>
    </xf>
    <xf numFmtId="0" fontId="45" fillId="7" borderId="17" xfId="0" applyFont="1" applyFill="1" applyBorder="1" applyAlignment="1" applyProtection="1">
      <alignment horizontal="center"/>
      <protection hidden="1"/>
    </xf>
    <xf numFmtId="0" fontId="17" fillId="9" borderId="16" xfId="0" applyFont="1" applyFill="1" applyBorder="1" applyAlignment="1" applyProtection="1">
      <alignment horizontal="center"/>
      <protection hidden="1"/>
    </xf>
    <xf numFmtId="0" fontId="17" fillId="9" borderId="17" xfId="0" applyFont="1" applyFill="1" applyBorder="1" applyAlignment="1" applyProtection="1">
      <alignment horizontal="center"/>
      <protection hidden="1"/>
    </xf>
    <xf numFmtId="0" fontId="17" fillId="9" borderId="18" xfId="0" applyFont="1" applyFill="1" applyBorder="1" applyAlignment="1" applyProtection="1">
      <alignment horizontal="center"/>
      <protection hidden="1"/>
    </xf>
    <xf numFmtId="0" fontId="54" fillId="8" borderId="0" xfId="0" applyFont="1" applyFill="1" applyAlignment="1" applyProtection="1">
      <alignment horizontal="center" vertical="center"/>
      <protection hidden="1"/>
    </xf>
    <xf numFmtId="0" fontId="54" fillId="11" borderId="0" xfId="0" applyFont="1" applyFill="1" applyAlignment="1" applyProtection="1">
      <alignment horizontal="center" vertical="center"/>
      <protection hidden="1"/>
    </xf>
    <xf numFmtId="0" fontId="51" fillId="7" borderId="4" xfId="1" applyFont="1" applyFill="1" applyBorder="1" applyAlignment="1" applyProtection="1">
      <alignment horizontal="left" vertical="center"/>
      <protection locked="0" hidden="1"/>
    </xf>
    <xf numFmtId="0" fontId="51" fillId="7" borderId="0" xfId="1" applyFont="1" applyFill="1" applyBorder="1" applyAlignment="1" applyProtection="1">
      <alignment horizontal="left" vertical="center"/>
      <protection locked="0" hidden="1"/>
    </xf>
    <xf numFmtId="0" fontId="42" fillId="10" borderId="16" xfId="0" applyFont="1" applyFill="1" applyBorder="1" applyAlignment="1" applyProtection="1">
      <alignment horizontal="center" vertical="center"/>
      <protection hidden="1"/>
    </xf>
    <xf numFmtId="0" fontId="42" fillId="10" borderId="17" xfId="0" applyFont="1" applyFill="1" applyBorder="1" applyAlignment="1" applyProtection="1">
      <alignment horizontal="center" vertical="center"/>
      <protection hidden="1"/>
    </xf>
    <xf numFmtId="0" fontId="42" fillId="10" borderId="18" xfId="0" applyFont="1" applyFill="1" applyBorder="1" applyAlignment="1" applyProtection="1">
      <alignment horizontal="center" vertical="center"/>
      <protection hidden="1"/>
    </xf>
    <xf numFmtId="165" fontId="0" fillId="7" borderId="57" xfId="0" applyNumberFormat="1" applyFill="1" applyBorder="1" applyAlignment="1" applyProtection="1">
      <alignment horizontal="center" vertical="center" wrapText="1"/>
      <protection hidden="1"/>
    </xf>
    <xf numFmtId="165" fontId="0" fillId="7" borderId="52" xfId="0" applyNumberFormat="1" applyFill="1" applyBorder="1" applyAlignment="1" applyProtection="1">
      <alignment horizontal="center" vertical="center" wrapText="1"/>
      <protection hidden="1"/>
    </xf>
    <xf numFmtId="165" fontId="0" fillId="7" borderId="51" xfId="0" applyNumberFormat="1" applyFill="1" applyBorder="1" applyAlignment="1" applyProtection="1">
      <alignment horizontal="center" vertical="center" wrapText="1"/>
      <protection hidden="1"/>
    </xf>
    <xf numFmtId="165" fontId="46" fillId="7" borderId="58" xfId="0" applyNumberFormat="1" applyFont="1" applyFill="1" applyBorder="1" applyAlignment="1" applyProtection="1">
      <alignment horizontal="center" vertical="center" wrapText="1"/>
      <protection hidden="1"/>
    </xf>
    <xf numFmtId="165" fontId="46" fillId="7" borderId="30" xfId="0" applyNumberFormat="1" applyFont="1" applyFill="1" applyBorder="1" applyAlignment="1" applyProtection="1">
      <alignment horizontal="center" vertical="center" wrapText="1"/>
      <protection hidden="1"/>
    </xf>
    <xf numFmtId="165" fontId="34" fillId="7" borderId="50" xfId="0" applyNumberFormat="1" applyFont="1" applyFill="1" applyBorder="1" applyAlignment="1" applyProtection="1">
      <alignment horizontal="center" vertical="center" wrapText="1"/>
      <protection hidden="1"/>
    </xf>
    <xf numFmtId="165" fontId="34" fillId="7" borderId="20" xfId="0" applyNumberFormat="1" applyFont="1" applyFill="1" applyBorder="1" applyAlignment="1" applyProtection="1">
      <alignment horizontal="center" vertical="center" wrapText="1"/>
      <protection hidden="1"/>
    </xf>
    <xf numFmtId="0" fontId="6" fillId="0" borderId="0" xfId="2" applyFont="1" applyProtection="1">
      <protection hidden="1"/>
    </xf>
    <xf numFmtId="0" fontId="2" fillId="3" borderId="0" xfId="2" applyFont="1" applyFill="1" applyAlignment="1" applyProtection="1">
      <alignment horizontal="center"/>
      <protection hidden="1"/>
    </xf>
    <xf numFmtId="0" fontId="3" fillId="2" borderId="34" xfId="2" applyFont="1" applyFill="1" applyBorder="1" applyProtection="1">
      <protection hidden="1"/>
    </xf>
    <xf numFmtId="0" fontId="52" fillId="7" borderId="0" xfId="2" quotePrefix="1" applyFont="1" applyFill="1" applyProtection="1">
      <protection hidden="1"/>
    </xf>
    <xf numFmtId="0" fontId="52" fillId="7" borderId="0" xfId="2" applyFont="1" applyFill="1" applyProtection="1">
      <protection hidden="1"/>
    </xf>
    <xf numFmtId="0" fontId="7" fillId="2" borderId="34" xfId="2" applyFont="1" applyFill="1" applyBorder="1" applyProtection="1">
      <protection hidden="1"/>
    </xf>
    <xf numFmtId="0" fontId="65" fillId="7" borderId="0" xfId="2" applyFont="1" applyFill="1" applyAlignment="1" applyProtection="1">
      <alignment horizontal="center"/>
      <protection hidden="1"/>
    </xf>
    <xf numFmtId="0" fontId="53" fillId="7" borderId="0" xfId="2" applyFont="1" applyFill="1" applyProtection="1">
      <protection hidden="1"/>
    </xf>
    <xf numFmtId="0" fontId="6" fillId="0" borderId="59" xfId="2" applyFont="1" applyBorder="1" applyAlignment="1" applyProtection="1">
      <alignment horizontal="left"/>
      <protection hidden="1"/>
    </xf>
    <xf numFmtId="0" fontId="66" fillId="6" borderId="5" xfId="0" applyFont="1" applyFill="1" applyBorder="1" applyAlignment="1" applyProtection="1">
      <alignment horizontal="left" vertical="center" wrapText="1"/>
      <protection hidden="1"/>
    </xf>
    <xf numFmtId="0" fontId="0" fillId="6" borderId="5" xfId="0" applyFill="1" applyBorder="1" applyAlignment="1" applyProtection="1">
      <alignment vertical="center" wrapText="1"/>
      <protection hidden="1"/>
    </xf>
    <xf numFmtId="0" fontId="67" fillId="6" borderId="4" xfId="0" applyFont="1" applyFill="1" applyBorder="1" applyAlignment="1" applyProtection="1">
      <alignment horizontal="center"/>
      <protection hidden="1"/>
    </xf>
    <xf numFmtId="0" fontId="67" fillId="6" borderId="0" xfId="0" applyFont="1" applyFill="1" applyAlignment="1" applyProtection="1">
      <alignment horizontal="center"/>
      <protection hidden="1"/>
    </xf>
    <xf numFmtId="0" fontId="67" fillId="6" borderId="5" xfId="0" applyFont="1" applyFill="1" applyBorder="1" applyAlignment="1" applyProtection="1">
      <alignment horizontal="center"/>
      <protection hidden="1"/>
    </xf>
    <xf numFmtId="0" fontId="51" fillId="7" borderId="4" xfId="1" applyFont="1" applyFill="1" applyBorder="1" applyAlignment="1" applyProtection="1">
      <alignment horizontal="center" vertical="center"/>
      <protection hidden="1"/>
    </xf>
    <xf numFmtId="0" fontId="68" fillId="7" borderId="0" xfId="0" applyFont="1" applyFill="1" applyAlignment="1" applyProtection="1">
      <alignment horizontal="center" vertical="center"/>
      <protection hidden="1"/>
    </xf>
    <xf numFmtId="0" fontId="68" fillId="7" borderId="4" xfId="0" applyFont="1" applyFill="1" applyBorder="1" applyAlignment="1" applyProtection="1">
      <alignment horizontal="center" vertical="center"/>
      <protection hidden="1"/>
    </xf>
    <xf numFmtId="0" fontId="69" fillId="6" borderId="38" xfId="0" applyFont="1" applyFill="1" applyBorder="1" applyAlignment="1" applyProtection="1">
      <alignment horizontal="center" vertical="center"/>
      <protection hidden="1"/>
    </xf>
    <xf numFmtId="0" fontId="69" fillId="6" borderId="39" xfId="0" applyFont="1" applyFill="1" applyBorder="1" applyAlignment="1" applyProtection="1">
      <alignment horizontal="center" vertical="center"/>
      <protection hidden="1"/>
    </xf>
    <xf numFmtId="0" fontId="69" fillId="6" borderId="40" xfId="0" applyFont="1" applyFill="1" applyBorder="1" applyAlignment="1" applyProtection="1">
      <alignment horizontal="center" vertical="center"/>
      <protection hidden="1"/>
    </xf>
    <xf numFmtId="0" fontId="69" fillId="6" borderId="4" xfId="0" applyFont="1" applyFill="1" applyBorder="1" applyAlignment="1" applyProtection="1">
      <alignment horizontal="center" vertical="center"/>
      <protection hidden="1"/>
    </xf>
    <xf numFmtId="0" fontId="69" fillId="6" borderId="0" xfId="0" applyFont="1" applyFill="1" applyAlignment="1" applyProtection="1">
      <alignment horizontal="center" vertical="center"/>
      <protection hidden="1"/>
    </xf>
    <xf numFmtId="0" fontId="69" fillId="6" borderId="5" xfId="0" applyFont="1" applyFill="1" applyBorder="1" applyAlignment="1" applyProtection="1">
      <alignment horizontal="center" vertical="center"/>
      <protection hidden="1"/>
    </xf>
    <xf numFmtId="0" fontId="14" fillId="7" borderId="0" xfId="0" applyFont="1" applyFill="1" applyAlignment="1" applyProtection="1">
      <alignment horizontal="center"/>
      <protection hidden="1"/>
    </xf>
    <xf numFmtId="0" fontId="17" fillId="7" borderId="0" xfId="0" applyFont="1" applyFill="1" applyAlignment="1" applyProtection="1">
      <alignment horizontal="center"/>
      <protection hidden="1"/>
    </xf>
  </cellXfs>
  <cellStyles count="4">
    <cellStyle name="Lien hypertexte" xfId="1" builtinId="8"/>
    <cellStyle name="Normal" xfId="0" builtinId="0"/>
    <cellStyle name="Normal 2" xfId="2" xr:uid="{00000000-0005-0000-0000-000002000000}"/>
    <cellStyle name="Pourcentage" xfId="3" builtinId="5"/>
  </cellStyles>
  <dxfs count="1">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rrigetonimpot.f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rrigetonimpot.fr/"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rrigetonimpot.fr/"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rrigetonimpot.f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53</xdr:row>
      <xdr:rowOff>9525</xdr:rowOff>
    </xdr:from>
    <xdr:to>
      <xdr:col>16</xdr:col>
      <xdr:colOff>866775</xdr:colOff>
      <xdr:row>70</xdr:row>
      <xdr:rowOff>0</xdr:rowOff>
    </xdr:to>
    <xdr:pic>
      <xdr:nvPicPr>
        <xdr:cNvPr id="1084" name="Image 1">
          <a:hlinkClick xmlns:r="http://schemas.openxmlformats.org/officeDocument/2006/relationships" r:id="rId1"/>
          <a:extLst>
            <a:ext uri="{FF2B5EF4-FFF2-40B4-BE49-F238E27FC236}">
              <a16:creationId xmlns:a16="http://schemas.microsoft.com/office/drawing/2014/main" id="{71677D9E-5F39-CDC0-4E96-0865C07E54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468100"/>
          <a:ext cx="16316325" cy="320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152400</xdr:colOff>
      <xdr:row>28</xdr:row>
      <xdr:rowOff>47625</xdr:rowOff>
    </xdr:from>
    <xdr:to>
      <xdr:col>29</xdr:col>
      <xdr:colOff>542925</xdr:colOff>
      <xdr:row>42</xdr:row>
      <xdr:rowOff>123825</xdr:rowOff>
    </xdr:to>
    <xdr:pic>
      <xdr:nvPicPr>
        <xdr:cNvPr id="2087" name="Image 1">
          <a:hlinkClick xmlns:r="http://schemas.openxmlformats.org/officeDocument/2006/relationships" r:id="rId1"/>
          <a:extLst>
            <a:ext uri="{FF2B5EF4-FFF2-40B4-BE49-F238E27FC236}">
              <a16:creationId xmlns:a16="http://schemas.microsoft.com/office/drawing/2014/main" id="{27DEACAC-3EDA-CCE0-CBA9-88F4B94180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62650" y="4924425"/>
          <a:ext cx="12001500" cy="234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30</xdr:row>
      <xdr:rowOff>28575</xdr:rowOff>
    </xdr:from>
    <xdr:to>
      <xdr:col>8</xdr:col>
      <xdr:colOff>123825</xdr:colOff>
      <xdr:row>42</xdr:row>
      <xdr:rowOff>104775</xdr:rowOff>
    </xdr:to>
    <xdr:pic>
      <xdr:nvPicPr>
        <xdr:cNvPr id="3111" name="Image 1">
          <a:hlinkClick xmlns:r="http://schemas.openxmlformats.org/officeDocument/2006/relationships" r:id="rId1"/>
          <a:extLst>
            <a:ext uri="{FF2B5EF4-FFF2-40B4-BE49-F238E27FC236}">
              <a16:creationId xmlns:a16="http://schemas.microsoft.com/office/drawing/2014/main" id="{BEADC64A-0FD1-74CF-EFD8-CE3B8B6250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15075"/>
          <a:ext cx="12125325" cy="236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371475</xdr:colOff>
      <xdr:row>18</xdr:row>
      <xdr:rowOff>180975</xdr:rowOff>
    </xdr:from>
    <xdr:to>
      <xdr:col>16</xdr:col>
      <xdr:colOff>0</xdr:colOff>
      <xdr:row>31</xdr:row>
      <xdr:rowOff>66675</xdr:rowOff>
    </xdr:to>
    <xdr:pic>
      <xdr:nvPicPr>
        <xdr:cNvPr id="6221" name="Image 1">
          <a:hlinkClick xmlns:r="http://schemas.openxmlformats.org/officeDocument/2006/relationships" r:id="rId1"/>
          <a:extLst>
            <a:ext uri="{FF2B5EF4-FFF2-40B4-BE49-F238E27FC236}">
              <a16:creationId xmlns:a16="http://schemas.microsoft.com/office/drawing/2014/main" id="{F1F6F3DD-4D4C-03BB-1C4B-45054FE99B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9475" y="3609975"/>
          <a:ext cx="12125325" cy="236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352425</xdr:colOff>
      <xdr:row>2</xdr:row>
      <xdr:rowOff>66675</xdr:rowOff>
    </xdr:from>
    <xdr:to>
      <xdr:col>15</xdr:col>
      <xdr:colOff>742950</xdr:colOff>
      <xdr:row>14</xdr:row>
      <xdr:rowOff>142875</xdr:rowOff>
    </xdr:to>
    <xdr:pic>
      <xdr:nvPicPr>
        <xdr:cNvPr id="6222" name="Image 1">
          <a:hlinkClick xmlns:r="http://schemas.openxmlformats.org/officeDocument/2006/relationships" r:id="rId1"/>
          <a:extLst>
            <a:ext uri="{FF2B5EF4-FFF2-40B4-BE49-F238E27FC236}">
              <a16:creationId xmlns:a16="http://schemas.microsoft.com/office/drawing/2014/main" id="{63FB43B6-F3DB-CEEE-9A95-4E8BEE83013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0425" y="447675"/>
          <a:ext cx="12125325" cy="236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rrigetonimpot.fr/" TargetMode="External"/><Relationship Id="rId2" Type="http://schemas.openxmlformats.org/officeDocument/2006/relationships/hyperlink" Target="https://www.facebook.com/sharer.php?u=https%3A%2F%2Fwww.corrigetonimpot.fr%2F2017%2F06%2F07%2Fsimulateur-immobilier-locatif-investissement-rendement-excel-pret-gratuit%2F&amp;t=simulateur%20immobilier%20locatif%20investissement%20rendement%20excel%20pret%20gr" TargetMode="External"/><Relationship Id="rId1" Type="http://schemas.openxmlformats.org/officeDocument/2006/relationships/hyperlink" Target="https://www.corrigetonimpot.f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orrigetonimpot.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orrigetonimpot.f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BH231"/>
  <sheetViews>
    <sheetView tabSelected="1" zoomScale="130" zoomScaleNormal="130" workbookViewId="0">
      <selection activeCell="C7" sqref="C7"/>
    </sheetView>
  </sheetViews>
  <sheetFormatPr baseColWidth="10" defaultRowHeight="15" x14ac:dyDescent="0.25"/>
  <cols>
    <col min="1" max="2" width="11.42578125" style="62"/>
    <col min="3" max="3" width="29.42578125" style="62" customWidth="1"/>
    <col min="4" max="4" width="13.140625" style="62" customWidth="1"/>
    <col min="5" max="5" width="13.85546875" style="62" customWidth="1"/>
    <col min="6" max="6" width="19.140625" style="62" customWidth="1"/>
    <col min="7" max="14" width="13.140625" style="62" customWidth="1"/>
    <col min="15" max="15" width="14" style="62" customWidth="1"/>
    <col min="16" max="16" width="14.140625" style="62" customWidth="1"/>
    <col min="17" max="18" width="13.140625" style="62" customWidth="1"/>
    <col min="19" max="16384" width="11.42578125" style="62"/>
  </cols>
  <sheetData>
    <row r="1" spans="1:60" ht="26.25" customHeight="1" x14ac:dyDescent="0.25">
      <c r="A1" s="270" t="s">
        <v>186</v>
      </c>
      <c r="B1" s="271"/>
      <c r="C1" s="271"/>
      <c r="D1" s="271"/>
      <c r="E1" s="271"/>
      <c r="F1" s="271"/>
      <c r="G1" s="271"/>
      <c r="H1" s="271"/>
      <c r="I1" s="271"/>
      <c r="J1" s="271"/>
      <c r="K1" s="271"/>
      <c r="L1" s="271"/>
      <c r="M1" s="271"/>
      <c r="N1" s="271"/>
      <c r="O1" s="271"/>
      <c r="P1" s="271"/>
      <c r="Q1" s="271"/>
      <c r="R1" s="272"/>
      <c r="S1" s="175" t="s">
        <v>112</v>
      </c>
      <c r="T1" s="131"/>
      <c r="U1" s="131"/>
      <c r="V1" s="131"/>
      <c r="W1" s="131"/>
      <c r="X1" s="131"/>
      <c r="Y1" s="131"/>
      <c r="Z1" s="131"/>
      <c r="AA1" s="131"/>
      <c r="AB1" s="131"/>
      <c r="AC1" s="131"/>
      <c r="AD1" s="131"/>
      <c r="AE1" s="131"/>
    </row>
    <row r="2" spans="1:60" ht="20.25" customHeight="1" thickBot="1" x14ac:dyDescent="0.45">
      <c r="A2" s="157"/>
      <c r="B2" s="70"/>
      <c r="C2" s="70"/>
      <c r="D2" s="289" t="s">
        <v>164</v>
      </c>
      <c r="E2" s="289"/>
      <c r="F2" s="289"/>
      <c r="G2" s="289"/>
      <c r="H2" s="70"/>
      <c r="I2" s="70"/>
      <c r="J2" s="70"/>
      <c r="K2" s="290" t="s">
        <v>165</v>
      </c>
      <c r="L2" s="290"/>
      <c r="M2" s="290"/>
      <c r="N2" s="290"/>
      <c r="O2" s="70"/>
      <c r="P2" s="70"/>
      <c r="Q2" s="70"/>
      <c r="R2" s="158"/>
      <c r="S2" s="291" t="s">
        <v>112</v>
      </c>
      <c r="T2" s="292"/>
      <c r="U2" s="292"/>
      <c r="V2" s="292"/>
      <c r="W2" s="292"/>
      <c r="X2" s="292"/>
      <c r="Y2" s="292"/>
      <c r="Z2" s="292"/>
      <c r="AA2" s="292"/>
      <c r="AB2" s="292"/>
      <c r="AC2" s="292"/>
      <c r="AD2" s="292"/>
      <c r="AE2" s="292"/>
      <c r="AF2" s="292"/>
      <c r="AG2" s="292"/>
      <c r="AH2" s="292"/>
      <c r="AI2" s="292"/>
      <c r="AJ2" s="292"/>
      <c r="AK2" s="292"/>
      <c r="AL2" s="292"/>
      <c r="AM2" s="292"/>
      <c r="AN2" s="292"/>
      <c r="AO2" s="292"/>
      <c r="AP2" s="292"/>
    </row>
    <row r="3" spans="1:60" s="98" customFormat="1" ht="26.25" customHeight="1" x14ac:dyDescent="0.25">
      <c r="A3" s="234" t="s">
        <v>132</v>
      </c>
      <c r="B3" s="235"/>
      <c r="C3" s="236"/>
      <c r="D3" s="97"/>
      <c r="E3" s="97"/>
      <c r="H3" s="234" t="s">
        <v>125</v>
      </c>
      <c r="I3" s="235"/>
      <c r="J3" s="236"/>
      <c r="K3" s="97"/>
      <c r="O3" s="234" t="s">
        <v>119</v>
      </c>
      <c r="P3" s="235"/>
      <c r="Q3" s="235"/>
      <c r="R3" s="236"/>
      <c r="S3" s="291"/>
      <c r="T3" s="292"/>
      <c r="U3" s="292"/>
      <c r="V3" s="292"/>
      <c r="W3" s="292"/>
      <c r="X3" s="292"/>
      <c r="Y3" s="292"/>
      <c r="Z3" s="292"/>
      <c r="AA3" s="292"/>
      <c r="AB3" s="292"/>
      <c r="AC3" s="292"/>
      <c r="AD3" s="292"/>
      <c r="AE3" s="292"/>
      <c r="AF3" s="292"/>
      <c r="AG3" s="292"/>
      <c r="AH3" s="292"/>
      <c r="AI3" s="292"/>
      <c r="AJ3" s="292"/>
      <c r="AK3" s="292"/>
      <c r="AL3" s="292"/>
      <c r="AM3" s="292"/>
      <c r="AN3" s="292"/>
      <c r="AO3" s="292"/>
      <c r="AP3" s="292"/>
    </row>
    <row r="4" spans="1:60" ht="15" customHeight="1" thickBot="1" x14ac:dyDescent="0.3">
      <c r="A4" s="61"/>
      <c r="C4" s="63"/>
      <c r="H4" s="61"/>
      <c r="J4" s="63"/>
      <c r="O4" s="61"/>
      <c r="R4" s="63"/>
      <c r="S4" s="291"/>
      <c r="T4" s="292"/>
      <c r="U4" s="292"/>
      <c r="V4" s="292"/>
      <c r="W4" s="292"/>
      <c r="X4" s="292"/>
      <c r="Y4" s="292"/>
      <c r="Z4" s="292"/>
      <c r="AA4" s="292"/>
      <c r="AB4" s="292"/>
      <c r="AC4" s="292"/>
      <c r="AD4" s="292"/>
      <c r="AE4" s="292"/>
      <c r="AF4" s="292"/>
      <c r="AG4" s="292"/>
      <c r="AH4" s="292"/>
      <c r="AI4" s="292"/>
      <c r="AJ4" s="292"/>
      <c r="AK4" s="292"/>
      <c r="AL4" s="292"/>
      <c r="AM4" s="292"/>
      <c r="AN4" s="292"/>
      <c r="AO4" s="292"/>
      <c r="AP4" s="292"/>
    </row>
    <row r="5" spans="1:60" ht="15" customHeight="1" x14ac:dyDescent="0.25">
      <c r="A5" s="99" t="s">
        <v>19</v>
      </c>
      <c r="C5" s="100" t="s">
        <v>175</v>
      </c>
      <c r="D5" s="198" t="s">
        <v>179</v>
      </c>
      <c r="E5" s="199"/>
      <c r="F5" s="201">
        <v>2</v>
      </c>
      <c r="H5" s="99" t="s">
        <v>113</v>
      </c>
      <c r="I5" s="64"/>
      <c r="J5" s="102">
        <v>100000</v>
      </c>
      <c r="N5" s="144">
        <f>IF(R5&lt;=300000, R5, 300000)</f>
        <v>100000</v>
      </c>
      <c r="O5" s="99" t="s">
        <v>147</v>
      </c>
      <c r="P5" s="66"/>
      <c r="R5" s="102">
        <v>100000</v>
      </c>
      <c r="S5" s="291"/>
      <c r="T5" s="292"/>
      <c r="U5" s="292"/>
      <c r="V5" s="292"/>
      <c r="W5" s="292"/>
      <c r="X5" s="292"/>
      <c r="Y5" s="292"/>
      <c r="Z5" s="292"/>
      <c r="AA5" s="292"/>
      <c r="AB5" s="292"/>
      <c r="AC5" s="292"/>
      <c r="AD5" s="292"/>
      <c r="AE5" s="292"/>
      <c r="AF5" s="292"/>
      <c r="AG5" s="292"/>
      <c r="AH5" s="292"/>
      <c r="AI5" s="292"/>
      <c r="AJ5" s="292"/>
      <c r="AK5" s="292"/>
      <c r="AL5" s="292"/>
      <c r="AM5" s="292"/>
      <c r="AN5" s="292"/>
      <c r="AO5" s="292"/>
      <c r="AP5" s="292"/>
    </row>
    <row r="6" spans="1:60" ht="15" customHeight="1" thickBot="1" x14ac:dyDescent="0.3">
      <c r="A6" s="99" t="s">
        <v>20</v>
      </c>
      <c r="C6" s="101">
        <f>IF(F6="", www.corrigetonimpot!H43, www.corrigetonimpot!H43+0.5)</f>
        <v>2</v>
      </c>
      <c r="D6" s="200" t="s">
        <v>180</v>
      </c>
      <c r="E6" s="76"/>
      <c r="F6" s="202"/>
      <c r="H6" s="99" t="s">
        <v>153</v>
      </c>
      <c r="I6" s="64"/>
      <c r="J6" s="103">
        <v>1.0999999999999999E-2</v>
      </c>
      <c r="O6" s="99" t="s">
        <v>122</v>
      </c>
      <c r="P6" s="66"/>
      <c r="R6" s="100">
        <v>9</v>
      </c>
      <c r="S6" s="291"/>
      <c r="T6" s="292"/>
      <c r="U6" s="292"/>
      <c r="V6" s="292"/>
      <c r="W6" s="292"/>
      <c r="X6" s="292"/>
      <c r="Y6" s="292"/>
      <c r="Z6" s="292"/>
      <c r="AA6" s="292"/>
      <c r="AB6" s="292"/>
      <c r="AC6" s="292"/>
      <c r="AD6" s="292"/>
      <c r="AE6" s="292"/>
      <c r="AF6" s="292"/>
      <c r="AG6" s="292"/>
      <c r="AH6" s="292"/>
      <c r="AI6" s="292"/>
      <c r="AJ6" s="292"/>
      <c r="AK6" s="292"/>
      <c r="AL6" s="292"/>
      <c r="AM6" s="292"/>
      <c r="AN6" s="292"/>
      <c r="AO6" s="292"/>
      <c r="AP6" s="292"/>
    </row>
    <row r="7" spans="1:60" ht="15" customHeight="1" x14ac:dyDescent="0.25">
      <c r="A7" s="99" t="s">
        <v>133</v>
      </c>
      <c r="C7" s="208" t="s">
        <v>194</v>
      </c>
      <c r="H7" s="99" t="s">
        <v>152</v>
      </c>
      <c r="I7" s="64"/>
      <c r="J7" s="100">
        <v>15</v>
      </c>
      <c r="O7" s="99" t="s">
        <v>118</v>
      </c>
      <c r="P7" s="66"/>
      <c r="R7" s="102">
        <v>250000</v>
      </c>
      <c r="S7" s="291"/>
      <c r="T7" s="292"/>
      <c r="U7" s="292"/>
      <c r="V7" s="292"/>
      <c r="W7" s="292"/>
      <c r="X7" s="292"/>
      <c r="Y7" s="292"/>
      <c r="Z7" s="292"/>
      <c r="AA7" s="292"/>
      <c r="AB7" s="292"/>
      <c r="AC7" s="292"/>
      <c r="AD7" s="292"/>
      <c r="AE7" s="292"/>
      <c r="AF7" s="292"/>
      <c r="AG7" s="292"/>
      <c r="AH7" s="292"/>
      <c r="AI7" s="292"/>
      <c r="AJ7" s="292"/>
      <c r="AK7" s="292"/>
      <c r="AL7" s="292"/>
      <c r="AM7" s="292"/>
      <c r="AN7" s="292"/>
      <c r="AO7" s="292"/>
      <c r="AP7" s="292"/>
    </row>
    <row r="8" spans="1:60" ht="14.25" customHeight="1" thickBot="1" x14ac:dyDescent="0.3">
      <c r="A8" s="75"/>
      <c r="B8" s="76"/>
      <c r="C8" s="77">
        <f>IF(C7="non",1,IF(C7="Oui, Pinel + ou ancien Pinel 6 ans",2,IF(C7="Oui, Pinel + ou ancien Pinel 9 ans",3,IF(C7="Oui, Pinel + ou ancien Pinel 12 ans",4,IF(C7="Oui, Pinel 2023 6 ans",5,IF(C7="Oui, Pinel 2023 9 ans",6,IF(C7="Oui, Pinel 2023 12 ans",7,IF(C7="Oui, Pinel outre mer avant 2023 12 ans",8,9))))))))</f>
        <v>9</v>
      </c>
      <c r="H8" s="69" t="s">
        <v>154</v>
      </c>
      <c r="I8" s="65"/>
      <c r="J8" s="104">
        <v>1E-3</v>
      </c>
      <c r="O8" s="284" t="s">
        <v>151</v>
      </c>
      <c r="P8" s="285"/>
      <c r="Q8" s="285"/>
      <c r="R8" s="114">
        <f>POWER((R7/R5), (1/R6))-1</f>
        <v>0.10717317888991107</v>
      </c>
      <c r="S8" s="291"/>
      <c r="T8" s="292"/>
      <c r="U8" s="292"/>
      <c r="V8" s="292"/>
      <c r="W8" s="292"/>
      <c r="X8" s="292"/>
      <c r="Y8" s="292"/>
      <c r="Z8" s="292"/>
      <c r="AA8" s="292"/>
      <c r="AB8" s="292"/>
      <c r="AC8" s="292"/>
      <c r="AD8" s="292"/>
      <c r="AE8" s="292"/>
      <c r="AF8" s="292"/>
      <c r="AG8" s="292"/>
      <c r="AH8" s="292"/>
      <c r="AI8" s="292"/>
      <c r="AJ8" s="292"/>
      <c r="AK8" s="292"/>
      <c r="AL8" s="292"/>
      <c r="AM8" s="292"/>
      <c r="AN8" s="292"/>
      <c r="AO8" s="292"/>
      <c r="AP8" s="292"/>
    </row>
    <row r="9" spans="1:60" ht="15" customHeight="1" x14ac:dyDescent="0.25">
      <c r="A9" s="215" t="s">
        <v>142</v>
      </c>
      <c r="B9" s="216"/>
      <c r="C9" s="216"/>
      <c r="H9" s="216" t="s">
        <v>143</v>
      </c>
      <c r="I9" s="216"/>
      <c r="J9" s="216"/>
      <c r="O9" s="282" t="s">
        <v>144</v>
      </c>
      <c r="P9" s="282"/>
      <c r="Q9" s="282"/>
      <c r="R9" s="283"/>
      <c r="S9" s="291"/>
      <c r="T9" s="292"/>
      <c r="U9" s="292"/>
      <c r="V9" s="292"/>
      <c r="W9" s="292"/>
      <c r="X9" s="292"/>
      <c r="Y9" s="292"/>
      <c r="Z9" s="292"/>
      <c r="AA9" s="292"/>
      <c r="AB9" s="292"/>
      <c r="AC9" s="292"/>
      <c r="AD9" s="292"/>
      <c r="AE9" s="292"/>
      <c r="AF9" s="292"/>
      <c r="AG9" s="292"/>
      <c r="AH9" s="292"/>
      <c r="AI9" s="292"/>
      <c r="AJ9" s="292"/>
      <c r="AK9" s="292"/>
      <c r="AL9" s="292"/>
      <c r="AM9" s="292"/>
      <c r="AN9" s="292"/>
      <c r="AO9" s="292"/>
      <c r="AP9" s="292"/>
    </row>
    <row r="10" spans="1:60" ht="15" customHeight="1" x14ac:dyDescent="0.25">
      <c r="A10" s="215"/>
      <c r="B10" s="216"/>
      <c r="C10" s="216"/>
      <c r="H10" s="216"/>
      <c r="I10" s="216"/>
      <c r="J10" s="216"/>
      <c r="O10" s="282"/>
      <c r="P10" s="282"/>
      <c r="Q10" s="282"/>
      <c r="R10" s="283"/>
      <c r="S10" s="291"/>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row>
    <row r="11" spans="1:60" ht="15" customHeight="1" x14ac:dyDescent="0.25">
      <c r="A11" s="159"/>
      <c r="F11" s="71"/>
      <c r="G11" s="71"/>
      <c r="H11" s="71"/>
      <c r="L11" s="72"/>
      <c r="M11" s="72"/>
      <c r="N11" s="72"/>
      <c r="R11" s="63"/>
      <c r="S11" s="291"/>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row>
    <row r="12" spans="1:60" ht="18" customHeight="1" thickBot="1" x14ac:dyDescent="0.3">
      <c r="A12" s="279" t="s">
        <v>156</v>
      </c>
      <c r="B12" s="280"/>
      <c r="C12" s="280"/>
      <c r="D12" s="280"/>
      <c r="E12" s="280"/>
      <c r="F12" s="280"/>
      <c r="G12" s="280"/>
      <c r="H12" s="280"/>
      <c r="I12" s="280"/>
      <c r="J12" s="280"/>
      <c r="K12" s="280"/>
      <c r="L12" s="280"/>
      <c r="M12" s="280"/>
      <c r="N12" s="280"/>
      <c r="O12" s="280"/>
      <c r="P12" s="280"/>
      <c r="Q12" s="280"/>
      <c r="R12" s="281"/>
      <c r="S12" s="291"/>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row>
    <row r="13" spans="1:60" s="109" customFormat="1" ht="15.75" customHeight="1" x14ac:dyDescent="0.25">
      <c r="A13" s="273" t="s">
        <v>169</v>
      </c>
      <c r="B13" s="274"/>
      <c r="C13" s="275"/>
      <c r="D13" s="195">
        <v>1</v>
      </c>
      <c r="E13" s="125">
        <f>D13+1</f>
        <v>2</v>
      </c>
      <c r="F13" s="125">
        <f t="shared" ref="F13:Q13" si="0">E13+1</f>
        <v>3</v>
      </c>
      <c r="G13" s="125">
        <f t="shared" si="0"/>
        <v>4</v>
      </c>
      <c r="H13" s="125">
        <f t="shared" si="0"/>
        <v>5</v>
      </c>
      <c r="I13" s="125">
        <f t="shared" si="0"/>
        <v>6</v>
      </c>
      <c r="J13" s="125">
        <f t="shared" si="0"/>
        <v>7</v>
      </c>
      <c r="K13" s="125">
        <f t="shared" si="0"/>
        <v>8</v>
      </c>
      <c r="L13" s="125">
        <f t="shared" si="0"/>
        <v>9</v>
      </c>
      <c r="M13" s="125">
        <f t="shared" si="0"/>
        <v>10</v>
      </c>
      <c r="N13" s="125">
        <f t="shared" si="0"/>
        <v>11</v>
      </c>
      <c r="O13" s="125">
        <f>N13+1</f>
        <v>12</v>
      </c>
      <c r="P13" s="125">
        <f t="shared" si="0"/>
        <v>13</v>
      </c>
      <c r="Q13" s="125">
        <f t="shared" si="0"/>
        <v>14</v>
      </c>
      <c r="R13" s="126">
        <f>Q13+1</f>
        <v>15</v>
      </c>
      <c r="S13" s="291"/>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row>
    <row r="14" spans="1:60" ht="15.75" customHeight="1" x14ac:dyDescent="0.25">
      <c r="A14" s="243" t="s">
        <v>161</v>
      </c>
      <c r="B14" s="244"/>
      <c r="C14" s="245"/>
      <c r="D14" s="108">
        <v>36000</v>
      </c>
      <c r="E14" s="108">
        <v>36000</v>
      </c>
      <c r="F14" s="108">
        <v>36000</v>
      </c>
      <c r="G14" s="108">
        <v>36000</v>
      </c>
      <c r="H14" s="108">
        <v>36000</v>
      </c>
      <c r="I14" s="108">
        <v>36000</v>
      </c>
      <c r="J14" s="108">
        <v>36000</v>
      </c>
      <c r="K14" s="108">
        <v>36000</v>
      </c>
      <c r="L14" s="108">
        <v>36000</v>
      </c>
      <c r="M14" s="108">
        <v>36000</v>
      </c>
      <c r="N14" s="108">
        <v>36000</v>
      </c>
      <c r="O14" s="108">
        <v>36000</v>
      </c>
      <c r="P14" s="108">
        <v>36000</v>
      </c>
      <c r="Q14" s="108">
        <v>36000</v>
      </c>
      <c r="R14" s="108">
        <v>36000</v>
      </c>
      <c r="S14" s="291"/>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row>
    <row r="15" spans="1:60" s="83" customFormat="1" ht="15.75" customHeight="1" x14ac:dyDescent="0.25">
      <c r="A15" s="217" t="s">
        <v>126</v>
      </c>
      <c r="B15" s="218"/>
      <c r="C15" s="218"/>
      <c r="D15" s="218"/>
      <c r="E15" s="218"/>
      <c r="F15" s="218"/>
      <c r="G15" s="218"/>
      <c r="H15" s="218"/>
      <c r="I15" s="218"/>
      <c r="J15" s="218"/>
      <c r="K15" s="218"/>
      <c r="L15" s="218"/>
      <c r="M15" s="218"/>
      <c r="N15" s="218"/>
      <c r="O15" s="218"/>
      <c r="P15" s="218"/>
      <c r="Q15" s="218"/>
      <c r="R15" s="219"/>
      <c r="S15" s="291"/>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62"/>
      <c r="AR15" s="62"/>
      <c r="AS15" s="62"/>
      <c r="AT15" s="62"/>
      <c r="AU15" s="62"/>
      <c r="AV15" s="62"/>
      <c r="AW15" s="62"/>
      <c r="AX15" s="62"/>
      <c r="AY15" s="62"/>
      <c r="AZ15" s="62"/>
      <c r="BA15" s="62"/>
      <c r="BB15" s="62"/>
      <c r="BC15" s="62"/>
      <c r="BD15" s="62"/>
      <c r="BE15" s="62"/>
      <c r="BF15" s="62"/>
      <c r="BG15" s="62"/>
      <c r="BH15" s="62"/>
    </row>
    <row r="16" spans="1:60" s="84" customFormat="1" ht="15" customHeight="1" x14ac:dyDescent="0.25">
      <c r="A16" s="276" t="s">
        <v>168</v>
      </c>
      <c r="B16" s="277"/>
      <c r="C16" s="278"/>
      <c r="D16" s="107">
        <v>10000</v>
      </c>
      <c r="E16" s="107">
        <v>10000</v>
      </c>
      <c r="F16" s="107">
        <v>10000</v>
      </c>
      <c r="G16" s="107">
        <v>10000</v>
      </c>
      <c r="H16" s="107">
        <v>10000</v>
      </c>
      <c r="I16" s="107">
        <v>10000</v>
      </c>
      <c r="J16" s="107">
        <v>10000</v>
      </c>
      <c r="K16" s="107">
        <v>10000</v>
      </c>
      <c r="L16" s="107">
        <v>10000</v>
      </c>
      <c r="M16" s="107">
        <v>10000</v>
      </c>
      <c r="N16" s="107">
        <v>10000</v>
      </c>
      <c r="O16" s="107">
        <v>10000</v>
      </c>
      <c r="P16" s="107">
        <v>10000</v>
      </c>
      <c r="Q16" s="107">
        <v>10000</v>
      </c>
      <c r="R16" s="107">
        <v>10000</v>
      </c>
      <c r="S16" s="291"/>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row>
    <row r="17" spans="1:60" s="84" customFormat="1" ht="15" customHeight="1" x14ac:dyDescent="0.25">
      <c r="A17" s="240" t="s">
        <v>123</v>
      </c>
      <c r="B17" s="241"/>
      <c r="C17" s="242"/>
      <c r="D17" s="82">
        <v>15000</v>
      </c>
      <c r="E17" s="82">
        <v>3000</v>
      </c>
      <c r="F17" s="82">
        <v>450</v>
      </c>
      <c r="G17" s="82">
        <v>450</v>
      </c>
      <c r="H17" s="82">
        <v>450</v>
      </c>
      <c r="I17" s="82">
        <v>450</v>
      </c>
      <c r="J17" s="82">
        <v>1503</v>
      </c>
      <c r="K17" s="82">
        <v>450</v>
      </c>
      <c r="L17" s="82">
        <v>450</v>
      </c>
      <c r="M17" s="82">
        <v>450</v>
      </c>
      <c r="N17" s="82">
        <v>450</v>
      </c>
      <c r="O17" s="82">
        <v>450</v>
      </c>
      <c r="P17" s="82">
        <v>450</v>
      </c>
      <c r="Q17" s="82">
        <v>450</v>
      </c>
      <c r="R17" s="82">
        <v>450</v>
      </c>
      <c r="S17" s="291"/>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row>
    <row r="18" spans="1:60" s="85" customFormat="1" ht="15" customHeight="1" x14ac:dyDescent="0.25">
      <c r="A18" s="237" t="s">
        <v>124</v>
      </c>
      <c r="B18" s="238"/>
      <c r="C18" s="239"/>
      <c r="D18" s="96">
        <f>'Prêt bien immobilier'!T14+'Prêt bien immobilier'!U14</f>
        <v>1168.95</v>
      </c>
      <c r="E18" s="96">
        <f>'Prêt bien immobilier'!T15+'Prêt bien immobilier'!U15</f>
        <v>1100.77</v>
      </c>
      <c r="F18" s="96">
        <f>'Prêt bien immobilier'!T16+'Prêt bien immobilier'!U16</f>
        <v>1031.8500000000001</v>
      </c>
      <c r="G18" s="96">
        <f>'Prêt bien immobilier'!T17+'Prêt bien immobilier'!U17</f>
        <v>962.17</v>
      </c>
      <c r="H18" s="96">
        <f>'Prêt bien immobilier'!T18+'Prêt bien immobilier'!U18</f>
        <v>891.71</v>
      </c>
      <c r="I18" s="96">
        <f>'Prêt bien immobilier'!T19+'Prêt bien immobilier'!U19</f>
        <v>820.45999999999992</v>
      </c>
      <c r="J18" s="96">
        <f>'Prêt bien immobilier'!T20+'Prêt bien immobilier'!U20</f>
        <v>748.46</v>
      </c>
      <c r="K18" s="96">
        <f>'Prêt bien immobilier'!T21+'Prêt bien immobilier'!U21</f>
        <v>675.63</v>
      </c>
      <c r="L18" s="96">
        <f>'Prêt bien immobilier'!T22+'Prêt bien immobilier'!U22</f>
        <v>602.02</v>
      </c>
      <c r="M18" s="96">
        <f>'Prêt bien immobilier'!T23+'Prêt bien immobilier'!U23</f>
        <v>527.59000000000015</v>
      </c>
      <c r="N18" s="96">
        <f>'Prêt bien immobilier'!T24+'Prêt bien immobilier'!U24</f>
        <v>452.33</v>
      </c>
      <c r="O18" s="96">
        <f>'Prêt bien immobilier'!T25+'Prêt bien immobilier'!U25</f>
        <v>376.22999999999996</v>
      </c>
      <c r="P18" s="96">
        <f>'Prêt bien immobilier'!T26+'Prêt bien immobilier'!U26</f>
        <v>299.3</v>
      </c>
      <c r="Q18" s="96">
        <f>'Prêt bien immobilier'!T27+'Prêt bien immobilier'!U27</f>
        <v>221.52</v>
      </c>
      <c r="R18" s="160">
        <f>'Prêt bien immobilier'!T28+'Prêt bien immobilier'!U28</f>
        <v>142.88999999999999</v>
      </c>
      <c r="S18" s="291"/>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row>
    <row r="19" spans="1:60" s="84" customFormat="1" ht="15.75" customHeight="1" x14ac:dyDescent="0.25">
      <c r="A19" s="243" t="s">
        <v>172</v>
      </c>
      <c r="B19" s="244"/>
      <c r="C19" s="245"/>
      <c r="D19" s="108">
        <v>7000</v>
      </c>
      <c r="E19" s="108">
        <v>1500</v>
      </c>
      <c r="F19" s="108">
        <v>1500</v>
      </c>
      <c r="G19" s="108">
        <v>1500</v>
      </c>
      <c r="H19" s="108">
        <v>1500</v>
      </c>
      <c r="I19" s="108">
        <v>1500</v>
      </c>
      <c r="J19" s="108">
        <v>0</v>
      </c>
      <c r="K19" s="108">
        <v>1500</v>
      </c>
      <c r="L19" s="108">
        <v>1500</v>
      </c>
      <c r="M19" s="108">
        <v>1500</v>
      </c>
      <c r="N19" s="108">
        <v>1500</v>
      </c>
      <c r="O19" s="108">
        <v>1500</v>
      </c>
      <c r="P19" s="108">
        <v>1500</v>
      </c>
      <c r="Q19" s="108">
        <v>1500</v>
      </c>
      <c r="R19" s="108">
        <v>1500</v>
      </c>
      <c r="S19" s="291"/>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row>
    <row r="20" spans="1:60" s="83" customFormat="1" ht="15" customHeight="1" x14ac:dyDescent="0.25">
      <c r="A20" s="217" t="s">
        <v>127</v>
      </c>
      <c r="B20" s="218"/>
      <c r="C20" s="218"/>
      <c r="D20" s="218"/>
      <c r="E20" s="218"/>
      <c r="F20" s="218"/>
      <c r="G20" s="218"/>
      <c r="H20" s="218"/>
      <c r="I20" s="218"/>
      <c r="J20" s="218"/>
      <c r="K20" s="218"/>
      <c r="L20" s="218"/>
      <c r="M20" s="218"/>
      <c r="N20" s="218"/>
      <c r="O20" s="218"/>
      <c r="P20" s="218"/>
      <c r="Q20" s="218"/>
      <c r="R20" s="219"/>
      <c r="S20" s="291"/>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62"/>
      <c r="AR20" s="62"/>
      <c r="AS20" s="62"/>
      <c r="AT20" s="62"/>
      <c r="AU20" s="62"/>
      <c r="AV20" s="62"/>
      <c r="AW20" s="62"/>
      <c r="AX20" s="62"/>
      <c r="AY20" s="62"/>
      <c r="AZ20" s="62"/>
      <c r="BA20" s="62"/>
      <c r="BB20" s="62"/>
      <c r="BC20" s="62"/>
      <c r="BD20" s="62"/>
      <c r="BE20" s="62"/>
      <c r="BF20" s="62"/>
      <c r="BG20" s="62"/>
      <c r="BH20" s="62"/>
    </row>
    <row r="21" spans="1:60" s="64" customFormat="1" ht="15" hidden="1" customHeight="1" x14ac:dyDescent="0.25">
      <c r="A21" s="210" t="s">
        <v>63</v>
      </c>
      <c r="B21" s="211"/>
      <c r="C21" s="211"/>
      <c r="D21" s="67">
        <f>D16</f>
        <v>10000</v>
      </c>
      <c r="E21" s="67">
        <f t="shared" ref="E21:R21" si="1">E16</f>
        <v>10000</v>
      </c>
      <c r="F21" s="67">
        <f t="shared" si="1"/>
        <v>10000</v>
      </c>
      <c r="G21" s="67">
        <f t="shared" si="1"/>
        <v>10000</v>
      </c>
      <c r="H21" s="67">
        <f t="shared" si="1"/>
        <v>10000</v>
      </c>
      <c r="I21" s="67">
        <f t="shared" si="1"/>
        <v>10000</v>
      </c>
      <c r="J21" s="67">
        <f t="shared" si="1"/>
        <v>10000</v>
      </c>
      <c r="K21" s="67">
        <f t="shared" si="1"/>
        <v>10000</v>
      </c>
      <c r="L21" s="67">
        <f t="shared" si="1"/>
        <v>10000</v>
      </c>
      <c r="M21" s="67">
        <f t="shared" si="1"/>
        <v>10000</v>
      </c>
      <c r="N21" s="67">
        <f t="shared" si="1"/>
        <v>10000</v>
      </c>
      <c r="O21" s="67">
        <f t="shared" si="1"/>
        <v>10000</v>
      </c>
      <c r="P21" s="67">
        <f t="shared" si="1"/>
        <v>10000</v>
      </c>
      <c r="Q21" s="67">
        <f t="shared" si="1"/>
        <v>10000</v>
      </c>
      <c r="R21" s="161">
        <f t="shared" si="1"/>
        <v>10000</v>
      </c>
      <c r="S21" s="291"/>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row>
    <row r="22" spans="1:60" s="64" customFormat="1" ht="15" hidden="1" customHeight="1" x14ac:dyDescent="0.25">
      <c r="A22" s="210" t="s">
        <v>68</v>
      </c>
      <c r="B22" s="211"/>
      <c r="C22" s="211"/>
      <c r="D22" s="67">
        <f>SUM(D17:D19)</f>
        <v>23168.95</v>
      </c>
      <c r="E22" s="67">
        <f t="shared" ref="E22:R22" si="2">SUM(E17:E19)</f>
        <v>5600.77</v>
      </c>
      <c r="F22" s="67">
        <f t="shared" si="2"/>
        <v>2981.8500000000004</v>
      </c>
      <c r="G22" s="67">
        <f t="shared" si="2"/>
        <v>2912.17</v>
      </c>
      <c r="H22" s="67">
        <f t="shared" si="2"/>
        <v>2841.71</v>
      </c>
      <c r="I22" s="67">
        <f t="shared" si="2"/>
        <v>2770.46</v>
      </c>
      <c r="J22" s="67">
        <f t="shared" si="2"/>
        <v>2251.46</v>
      </c>
      <c r="K22" s="67">
        <f t="shared" si="2"/>
        <v>2625.63</v>
      </c>
      <c r="L22" s="67">
        <f t="shared" si="2"/>
        <v>2552.02</v>
      </c>
      <c r="M22" s="67">
        <f t="shared" si="2"/>
        <v>2477.59</v>
      </c>
      <c r="N22" s="67">
        <f t="shared" si="2"/>
        <v>2402.33</v>
      </c>
      <c r="O22" s="67">
        <f t="shared" si="2"/>
        <v>2326.23</v>
      </c>
      <c r="P22" s="67">
        <f t="shared" si="2"/>
        <v>2249.3000000000002</v>
      </c>
      <c r="Q22" s="67">
        <f t="shared" si="2"/>
        <v>2171.52</v>
      </c>
      <c r="R22" s="161">
        <f t="shared" si="2"/>
        <v>2092.89</v>
      </c>
      <c r="S22" s="291"/>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row>
    <row r="23" spans="1:60" s="64" customFormat="1" ht="15" hidden="1" customHeight="1" x14ac:dyDescent="0.25">
      <c r="A23" s="210" t="s">
        <v>69</v>
      </c>
      <c r="B23" s="211"/>
      <c r="C23" s="211"/>
      <c r="D23" s="67">
        <f>D21-D22</f>
        <v>-13168.95</v>
      </c>
      <c r="E23" s="67">
        <f t="shared" ref="E23:R23" si="3">E21-E22</f>
        <v>4399.2299999999996</v>
      </c>
      <c r="F23" s="67">
        <f t="shared" si="3"/>
        <v>7018.15</v>
      </c>
      <c r="G23" s="67">
        <f t="shared" si="3"/>
        <v>7087.83</v>
      </c>
      <c r="H23" s="67">
        <f t="shared" si="3"/>
        <v>7158.29</v>
      </c>
      <c r="I23" s="67">
        <f t="shared" si="3"/>
        <v>7229.54</v>
      </c>
      <c r="J23" s="67">
        <f t="shared" si="3"/>
        <v>7748.54</v>
      </c>
      <c r="K23" s="67">
        <f t="shared" si="3"/>
        <v>7374.37</v>
      </c>
      <c r="L23" s="67">
        <f t="shared" si="3"/>
        <v>7447.98</v>
      </c>
      <c r="M23" s="67">
        <f t="shared" si="3"/>
        <v>7522.41</v>
      </c>
      <c r="N23" s="67">
        <f t="shared" si="3"/>
        <v>7597.67</v>
      </c>
      <c r="O23" s="67">
        <f t="shared" si="3"/>
        <v>7673.77</v>
      </c>
      <c r="P23" s="67">
        <f t="shared" si="3"/>
        <v>7750.7</v>
      </c>
      <c r="Q23" s="67">
        <f t="shared" si="3"/>
        <v>7828.48</v>
      </c>
      <c r="R23" s="161">
        <f t="shared" si="3"/>
        <v>7907.1100000000006</v>
      </c>
      <c r="S23" s="291"/>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row>
    <row r="24" spans="1:60" s="64" customFormat="1" ht="15" hidden="1" customHeight="1" x14ac:dyDescent="0.25">
      <c r="A24" s="210" t="s">
        <v>70</v>
      </c>
      <c r="B24" s="211"/>
      <c r="C24" s="211"/>
      <c r="D24" s="67"/>
      <c r="E24" s="67">
        <f t="shared" ref="E24:R24" si="4">IF(E23&lt;=0,E23,IF(E23&gt;D26,E23-D26,0))</f>
        <v>1930.2799999999988</v>
      </c>
      <c r="F24" s="67">
        <f t="shared" si="4"/>
        <v>7018.15</v>
      </c>
      <c r="G24" s="67">
        <f t="shared" si="4"/>
        <v>7087.83</v>
      </c>
      <c r="H24" s="67">
        <f t="shared" si="4"/>
        <v>7158.29</v>
      </c>
      <c r="I24" s="67">
        <f t="shared" si="4"/>
        <v>7229.54</v>
      </c>
      <c r="J24" s="67">
        <f t="shared" si="4"/>
        <v>7748.54</v>
      </c>
      <c r="K24" s="67">
        <f t="shared" si="4"/>
        <v>7374.37</v>
      </c>
      <c r="L24" s="67">
        <f t="shared" si="4"/>
        <v>7447.98</v>
      </c>
      <c r="M24" s="67">
        <f t="shared" si="4"/>
        <v>7522.41</v>
      </c>
      <c r="N24" s="67">
        <f t="shared" si="4"/>
        <v>7597.67</v>
      </c>
      <c r="O24" s="67">
        <f t="shared" si="4"/>
        <v>7673.77</v>
      </c>
      <c r="P24" s="67">
        <f t="shared" si="4"/>
        <v>7750.7</v>
      </c>
      <c r="Q24" s="67">
        <f t="shared" si="4"/>
        <v>7828.48</v>
      </c>
      <c r="R24" s="161">
        <f t="shared" si="4"/>
        <v>7907.1100000000006</v>
      </c>
      <c r="S24" s="291"/>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row>
    <row r="25" spans="1:60" s="86" customFormat="1" ht="13.5" customHeight="1" x14ac:dyDescent="0.25">
      <c r="A25" s="212" t="s">
        <v>62</v>
      </c>
      <c r="B25" s="213"/>
      <c r="C25" s="214"/>
      <c r="D25" s="105">
        <f>IF(D23&lt;-10700, -10700, D23)</f>
        <v>-10700</v>
      </c>
      <c r="E25" s="105">
        <f t="shared" ref="E25:R25" si="5">IF(E24&lt;-10700, -10700, E24)</f>
        <v>1930.2799999999988</v>
      </c>
      <c r="F25" s="105">
        <f t="shared" si="5"/>
        <v>7018.15</v>
      </c>
      <c r="G25" s="105">
        <f t="shared" si="5"/>
        <v>7087.83</v>
      </c>
      <c r="H25" s="105">
        <f t="shared" si="5"/>
        <v>7158.29</v>
      </c>
      <c r="I25" s="105">
        <f t="shared" si="5"/>
        <v>7229.54</v>
      </c>
      <c r="J25" s="105">
        <f t="shared" si="5"/>
        <v>7748.54</v>
      </c>
      <c r="K25" s="105">
        <f t="shared" si="5"/>
        <v>7374.37</v>
      </c>
      <c r="L25" s="105">
        <f t="shared" si="5"/>
        <v>7447.98</v>
      </c>
      <c r="M25" s="105">
        <f t="shared" si="5"/>
        <v>7522.41</v>
      </c>
      <c r="N25" s="105">
        <f t="shared" si="5"/>
        <v>7597.67</v>
      </c>
      <c r="O25" s="105">
        <f t="shared" si="5"/>
        <v>7673.77</v>
      </c>
      <c r="P25" s="105">
        <f t="shared" si="5"/>
        <v>7750.7</v>
      </c>
      <c r="Q25" s="105">
        <f t="shared" si="5"/>
        <v>7828.48</v>
      </c>
      <c r="R25" s="162">
        <f t="shared" si="5"/>
        <v>7907.1100000000006</v>
      </c>
      <c r="S25" s="291"/>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row>
    <row r="26" spans="1:60" s="64" customFormat="1" ht="13.5" customHeight="1" x14ac:dyDescent="0.25">
      <c r="A26" s="237" t="s">
        <v>64</v>
      </c>
      <c r="B26" s="238"/>
      <c r="C26" s="239"/>
      <c r="D26" s="68">
        <f>-IF(D25=-10700, D23-D25, 0)</f>
        <v>2468.9500000000007</v>
      </c>
      <c r="E26" s="68">
        <f t="shared" ref="E26:R26" si="6">IF(E23=E24, -IF(E25=-10700, E23-E25-D26, -D26), IF(E24&gt;0, 0, D26-E23))</f>
        <v>0</v>
      </c>
      <c r="F26" s="68">
        <f t="shared" si="6"/>
        <v>0</v>
      </c>
      <c r="G26" s="68">
        <f t="shared" si="6"/>
        <v>0</v>
      </c>
      <c r="H26" s="68">
        <f t="shared" si="6"/>
        <v>0</v>
      </c>
      <c r="I26" s="68">
        <f t="shared" si="6"/>
        <v>0</v>
      </c>
      <c r="J26" s="68">
        <f t="shared" si="6"/>
        <v>0</v>
      </c>
      <c r="K26" s="68">
        <f t="shared" si="6"/>
        <v>0</v>
      </c>
      <c r="L26" s="68">
        <f t="shared" si="6"/>
        <v>0</v>
      </c>
      <c r="M26" s="68">
        <f t="shared" si="6"/>
        <v>0</v>
      </c>
      <c r="N26" s="68">
        <f t="shared" si="6"/>
        <v>0</v>
      </c>
      <c r="O26" s="68">
        <f t="shared" si="6"/>
        <v>0</v>
      </c>
      <c r="P26" s="68">
        <f t="shared" si="6"/>
        <v>0</v>
      </c>
      <c r="Q26" s="68">
        <f t="shared" si="6"/>
        <v>0</v>
      </c>
      <c r="R26" s="163">
        <f t="shared" si="6"/>
        <v>0</v>
      </c>
      <c r="S26" s="291"/>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row>
    <row r="27" spans="1:60" s="64" customFormat="1" ht="13.5" customHeight="1" x14ac:dyDescent="0.25">
      <c r="A27" s="237" t="s">
        <v>65</v>
      </c>
      <c r="B27" s="238"/>
      <c r="C27" s="239"/>
      <c r="D27" s="68">
        <f t="shared" ref="D27:R27" si="7">D25+D14</f>
        <v>25300</v>
      </c>
      <c r="E27" s="68">
        <f t="shared" si="7"/>
        <v>37930.28</v>
      </c>
      <c r="F27" s="68">
        <f t="shared" si="7"/>
        <v>43018.15</v>
      </c>
      <c r="G27" s="68">
        <f t="shared" si="7"/>
        <v>43087.83</v>
      </c>
      <c r="H27" s="68">
        <f t="shared" si="7"/>
        <v>43158.29</v>
      </c>
      <c r="I27" s="68">
        <f t="shared" si="7"/>
        <v>43229.54</v>
      </c>
      <c r="J27" s="68">
        <f t="shared" si="7"/>
        <v>43748.54</v>
      </c>
      <c r="K27" s="68">
        <f t="shared" si="7"/>
        <v>43374.37</v>
      </c>
      <c r="L27" s="68">
        <f t="shared" si="7"/>
        <v>43447.979999999996</v>
      </c>
      <c r="M27" s="68">
        <f t="shared" si="7"/>
        <v>43522.41</v>
      </c>
      <c r="N27" s="68">
        <f t="shared" si="7"/>
        <v>43597.67</v>
      </c>
      <c r="O27" s="68">
        <f t="shared" si="7"/>
        <v>43673.770000000004</v>
      </c>
      <c r="P27" s="68">
        <f t="shared" si="7"/>
        <v>43750.7</v>
      </c>
      <c r="Q27" s="68">
        <f t="shared" si="7"/>
        <v>43828.479999999996</v>
      </c>
      <c r="R27" s="163">
        <f t="shared" si="7"/>
        <v>43907.11</v>
      </c>
      <c r="S27" s="291"/>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row>
    <row r="28" spans="1:60" s="86" customFormat="1" ht="13.5" customHeight="1" x14ac:dyDescent="0.25">
      <c r="A28" s="251" t="s">
        <v>138</v>
      </c>
      <c r="B28" s="252"/>
      <c r="C28" s="253"/>
      <c r="D28" s="68">
        <f t="shared" ref="D28:I28" si="8">IF($C$8=1, 0, IF(OR($C$8=2, $C$8=3, $C$8=4), $N$5*0.02, IF($C$8=5, $N$5*0.105/6, IF($C$8=6, $N$5*0.15/9, IF($C$8=7, $N$5*0.175/12, IF($C$8=8, $N$5*0.32/12, $N$5*0.285/12))))))</f>
        <v>2374.9999999999995</v>
      </c>
      <c r="E28" s="68">
        <f t="shared" si="8"/>
        <v>2374.9999999999995</v>
      </c>
      <c r="F28" s="68">
        <f t="shared" si="8"/>
        <v>2374.9999999999995</v>
      </c>
      <c r="G28" s="68">
        <f t="shared" si="8"/>
        <v>2374.9999999999995</v>
      </c>
      <c r="H28" s="68">
        <f t="shared" si="8"/>
        <v>2374.9999999999995</v>
      </c>
      <c r="I28" s="68">
        <f t="shared" si="8"/>
        <v>2374.9999999999995</v>
      </c>
      <c r="J28" s="68">
        <f>IF(OR($C$8=1, $C$8=2, $C$8=5), 0, $I$28)</f>
        <v>2374.9999999999995</v>
      </c>
      <c r="K28" s="68">
        <f>IF(OR($C$8=1, $C$8=2, $C$8=5), 0, $I$28)</f>
        <v>2374.9999999999995</v>
      </c>
      <c r="L28" s="68">
        <f>IF(OR($C$8=1,$C$8=2,$C$8=5),0,IF($C$8=4,$N$5*0.01,$I$28))</f>
        <v>2374.9999999999995</v>
      </c>
      <c r="M28" s="68">
        <f>IF(OR($C$8=1,$C$8=2,$C$8=3,$C$8=5,$C$8=6),0,$L$28)</f>
        <v>2374.9999999999995</v>
      </c>
      <c r="N28" s="68">
        <f>IF(OR($C$8=1,$C$8=2,$C$8=3,$C$8=5,$C$8=6),0,$L$28)</f>
        <v>2374.9999999999995</v>
      </c>
      <c r="O28" s="68">
        <f>IF(OR($C$8=1,$C$8=2,$C$8=3,$C$8=5,$C$8=6),0,$L$28)</f>
        <v>2374.9999999999995</v>
      </c>
      <c r="P28" s="78">
        <f>0</f>
        <v>0</v>
      </c>
      <c r="Q28" s="78">
        <f>0</f>
        <v>0</v>
      </c>
      <c r="R28" s="164">
        <f>0</f>
        <v>0</v>
      </c>
      <c r="S28" s="291"/>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row>
    <row r="29" spans="1:60" s="87" customFormat="1" ht="13.5" customHeight="1" x14ac:dyDescent="0.25">
      <c r="A29" s="248" t="s">
        <v>139</v>
      </c>
      <c r="B29" s="249"/>
      <c r="C29" s="250"/>
      <c r="D29" s="106">
        <f>IF($C$5="Célibataire-Divorcé-Veuf", www.corrigetonimpot!I22, www.corrigetonimpot!I41)</f>
        <v>0</v>
      </c>
      <c r="E29" s="106">
        <f>IF($C$5="Célibataire-Divorcé-Veuf", www.corrigetonimpot!J22, www.corrigetonimpot!J41)</f>
        <v>1578.3127869999998</v>
      </c>
      <c r="F29" s="106">
        <f>IF($C$5="Célibataire-Divorcé-Veuf", www.corrigetonimpot!K22, www.corrigetonimpot!K41)</f>
        <v>2673.6750000000002</v>
      </c>
      <c r="G29" s="106">
        <f>IF($C$5="Célibataire-Divorcé-Veuf", www.corrigetonimpot!L22, www.corrigetonimpot!L41)</f>
        <v>2694.5790000000006</v>
      </c>
      <c r="H29" s="106">
        <f>IF($C$5="Célibataire-Divorcé-Veuf", www.corrigetonimpot!M22, www.corrigetonimpot!M41)</f>
        <v>2715.7169999999996</v>
      </c>
      <c r="I29" s="106">
        <f>IF($C$5="Célibataire-Divorcé-Veuf", www.corrigetonimpot!N22, www.corrigetonimpot!N41)</f>
        <v>2737.0919999999996</v>
      </c>
      <c r="J29" s="106">
        <f>IF($C$5="Célibataire-Divorcé-Veuf", www.corrigetonimpot!O22, www.corrigetonimpot!O41)</f>
        <v>2892.7920000000004</v>
      </c>
      <c r="K29" s="106">
        <f>IF($C$5="Célibataire-Divorcé-Veuf", www.corrigetonimpot!P22, www.corrigetonimpot!P41)</f>
        <v>2780.5410000000002</v>
      </c>
      <c r="L29" s="106">
        <f>IF($C$5="Célibataire-Divorcé-Veuf", www.corrigetonimpot!Q22, www.corrigetonimpot!Q41)</f>
        <v>2802.6239999999989</v>
      </c>
      <c r="M29" s="106">
        <f>IF($C$5="Célibataire-Divorcé-Veuf", www.corrigetonimpot!R22, www.corrigetonimpot!R41)</f>
        <v>2824.9530000000004</v>
      </c>
      <c r="N29" s="106">
        <f>IF($C$5="Célibataire-Divorcé-Veuf", www.corrigetonimpot!S22, www.corrigetonimpot!S41)</f>
        <v>2847.530999999999</v>
      </c>
      <c r="O29" s="106">
        <f>IF($C$5="Célibataire-Divorcé-Veuf", www.corrigetonimpot!T22, www.corrigetonimpot!T41)</f>
        <v>2870.3610000000008</v>
      </c>
      <c r="P29" s="106">
        <f>IF($C$5="Célibataire-Divorcé-Veuf", www.corrigetonimpot!U22, www.corrigetonimpot!U41)</f>
        <v>2893.4399999999987</v>
      </c>
      <c r="Q29" s="106">
        <f>IF($C$5="Célibataire-Divorcé-Veuf", www.corrigetonimpot!V22, www.corrigetonimpot!V41)</f>
        <v>2916.7739999999985</v>
      </c>
      <c r="R29" s="165">
        <f>IF($C$5="Célibataire-Divorcé-Veuf", www.corrigetonimpot!W22, www.corrigetonimpot!W41)</f>
        <v>2940.3630000000003</v>
      </c>
      <c r="S29" s="291"/>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row>
    <row r="30" spans="1:60" s="88" customFormat="1" ht="15" customHeight="1" x14ac:dyDescent="0.25">
      <c r="A30" s="223" t="s">
        <v>140</v>
      </c>
      <c r="B30" s="224"/>
      <c r="C30" s="225"/>
      <c r="D30" s="110">
        <f>IF((D29-D28)&lt;=0, 0, D29-D28)</f>
        <v>0</v>
      </c>
      <c r="E30" s="111">
        <f t="shared" ref="E30:R30" si="9">IF((E29-E28)&lt;=0, 0, E29-E28)</f>
        <v>0</v>
      </c>
      <c r="F30" s="111">
        <f t="shared" si="9"/>
        <v>298.67500000000064</v>
      </c>
      <c r="G30" s="111">
        <f t="shared" si="9"/>
        <v>319.57900000000109</v>
      </c>
      <c r="H30" s="111">
        <f t="shared" si="9"/>
        <v>340.7170000000001</v>
      </c>
      <c r="I30" s="111">
        <f t="shared" si="9"/>
        <v>362.0920000000001</v>
      </c>
      <c r="J30" s="111">
        <f t="shared" si="9"/>
        <v>517.79200000000083</v>
      </c>
      <c r="K30" s="111">
        <f t="shared" si="9"/>
        <v>405.54100000000062</v>
      </c>
      <c r="L30" s="111">
        <f t="shared" si="9"/>
        <v>427.62399999999934</v>
      </c>
      <c r="M30" s="111">
        <f t="shared" si="9"/>
        <v>449.95300000000088</v>
      </c>
      <c r="N30" s="111">
        <f t="shared" si="9"/>
        <v>472.53099999999949</v>
      </c>
      <c r="O30" s="111">
        <f t="shared" si="9"/>
        <v>495.36100000000124</v>
      </c>
      <c r="P30" s="111">
        <f t="shared" si="9"/>
        <v>2893.4399999999987</v>
      </c>
      <c r="Q30" s="111">
        <f t="shared" si="9"/>
        <v>2916.7739999999985</v>
      </c>
      <c r="R30" s="166">
        <f t="shared" si="9"/>
        <v>2940.3630000000003</v>
      </c>
      <c r="S30" s="291"/>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row>
    <row r="31" spans="1:60" s="88" customFormat="1" ht="15" customHeight="1" x14ac:dyDescent="0.25">
      <c r="A31" s="226" t="s">
        <v>66</v>
      </c>
      <c r="B31" s="227"/>
      <c r="C31" s="227"/>
      <c r="D31" s="112">
        <f>IF(D25&gt;0, D25*0.172, 0)</f>
        <v>0</v>
      </c>
      <c r="E31" s="113">
        <f t="shared" ref="E31:R31" si="10">IF(E25&gt;0, E25*0.172, 0)</f>
        <v>332.00815999999975</v>
      </c>
      <c r="F31" s="113">
        <f t="shared" si="10"/>
        <v>1207.1217999999999</v>
      </c>
      <c r="G31" s="113">
        <f t="shared" si="10"/>
        <v>1219.1067599999999</v>
      </c>
      <c r="H31" s="113">
        <f t="shared" si="10"/>
        <v>1231.22588</v>
      </c>
      <c r="I31" s="113">
        <f t="shared" si="10"/>
        <v>1243.4808799999998</v>
      </c>
      <c r="J31" s="113">
        <f t="shared" si="10"/>
        <v>1332.7488799999999</v>
      </c>
      <c r="K31" s="113">
        <f t="shared" si="10"/>
        <v>1268.3916399999998</v>
      </c>
      <c r="L31" s="113">
        <f t="shared" si="10"/>
        <v>1281.0525599999999</v>
      </c>
      <c r="M31" s="113">
        <f t="shared" si="10"/>
        <v>1293.8545199999999</v>
      </c>
      <c r="N31" s="113">
        <f t="shared" si="10"/>
        <v>1306.7992399999998</v>
      </c>
      <c r="O31" s="113">
        <f t="shared" si="10"/>
        <v>1319.8884399999999</v>
      </c>
      <c r="P31" s="113">
        <f t="shared" si="10"/>
        <v>1333.1203999999998</v>
      </c>
      <c r="Q31" s="113">
        <f t="shared" si="10"/>
        <v>1346.4985599999998</v>
      </c>
      <c r="R31" s="167">
        <f t="shared" si="10"/>
        <v>1360.0229199999999</v>
      </c>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row>
    <row r="32" spans="1:60" s="89" customFormat="1" ht="22.5" customHeight="1" x14ac:dyDescent="0.25">
      <c r="A32" s="228" t="s">
        <v>67</v>
      </c>
      <c r="B32" s="229"/>
      <c r="C32" s="230"/>
      <c r="D32" s="205">
        <f t="shared" ref="D32:R32" si="11">D31+D30</f>
        <v>0</v>
      </c>
      <c r="E32" s="204">
        <f t="shared" si="11"/>
        <v>332.00815999999975</v>
      </c>
      <c r="F32" s="204">
        <f t="shared" si="11"/>
        <v>1505.7968000000005</v>
      </c>
      <c r="G32" s="204">
        <f t="shared" si="11"/>
        <v>1538.685760000001</v>
      </c>
      <c r="H32" s="204">
        <f t="shared" si="11"/>
        <v>1571.9428800000001</v>
      </c>
      <c r="I32" s="204">
        <f t="shared" si="11"/>
        <v>1605.5728799999999</v>
      </c>
      <c r="J32" s="204">
        <f t="shared" si="11"/>
        <v>1850.5408800000007</v>
      </c>
      <c r="K32" s="204">
        <f t="shared" si="11"/>
        <v>1673.9326400000004</v>
      </c>
      <c r="L32" s="204">
        <f t="shared" si="11"/>
        <v>1708.6765599999992</v>
      </c>
      <c r="M32" s="204">
        <f t="shared" si="11"/>
        <v>1743.8075200000007</v>
      </c>
      <c r="N32" s="204">
        <f t="shared" si="11"/>
        <v>1779.3302399999993</v>
      </c>
      <c r="O32" s="204">
        <f t="shared" si="11"/>
        <v>1815.2494400000012</v>
      </c>
      <c r="P32" s="204">
        <f t="shared" si="11"/>
        <v>4226.5603999999985</v>
      </c>
      <c r="Q32" s="204">
        <f t="shared" si="11"/>
        <v>4263.2725599999985</v>
      </c>
      <c r="R32" s="206">
        <f t="shared" si="11"/>
        <v>4300.3859200000006</v>
      </c>
      <c r="S32" s="291"/>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row>
    <row r="33" spans="1:49" s="197" customFormat="1" ht="12" customHeight="1" thickBot="1" x14ac:dyDescent="0.3">
      <c r="A33" s="220" t="s">
        <v>141</v>
      </c>
      <c r="B33" s="221"/>
      <c r="C33" s="222"/>
      <c r="D33" s="196">
        <f>IF($C$5="Célibataire-Divorcé-Veuf", 'www.corrigetonimpot (2)'!I22, 'www.corrigetonimpot (2)'!I41)</f>
        <v>1269.9023</v>
      </c>
      <c r="E33" s="196">
        <f>IF($C$5="Célibataire-Divorcé-Veuf", 'www.corrigetonimpot (2)'!J22, 'www.corrigetonimpot (2)'!J41)</f>
        <v>1269.9023</v>
      </c>
      <c r="F33" s="196">
        <f>IF($C$5="Célibataire-Divorcé-Veuf", 'www.corrigetonimpot (2)'!K22, 'www.corrigetonimpot (2)'!K41)</f>
        <v>1269.9023</v>
      </c>
      <c r="G33" s="196">
        <f>IF($C$5="Célibataire-Divorcé-Veuf", 'www.corrigetonimpot (2)'!L22, 'www.corrigetonimpot (2)'!L41)</f>
        <v>1269.9023</v>
      </c>
      <c r="H33" s="196">
        <f>IF($C$5="Célibataire-Divorcé-Veuf", 'www.corrigetonimpot (2)'!M22, 'www.corrigetonimpot (2)'!M41)</f>
        <v>1269.9023</v>
      </c>
      <c r="I33" s="196">
        <f>IF($C$5="Célibataire-Divorcé-Veuf", 'www.corrigetonimpot (2)'!N22, 'www.corrigetonimpot (2)'!N41)</f>
        <v>1269.9023</v>
      </c>
      <c r="J33" s="196">
        <f>IF($C$5="Célibataire-Divorcé-Veuf", 'www.corrigetonimpot (2)'!O22, 'www.corrigetonimpot (2)'!O41)</f>
        <v>1269.9023</v>
      </c>
      <c r="K33" s="196">
        <f>IF($C$5="Célibataire-Divorcé-Veuf", 'www.corrigetonimpot (2)'!P22, 'www.corrigetonimpot (2)'!P41)</f>
        <v>1269.9023</v>
      </c>
      <c r="L33" s="196">
        <f>IF($C$5="Célibataire-Divorcé-Veuf", 'www.corrigetonimpot (2)'!Q22, 'www.corrigetonimpot (2)'!Q41)</f>
        <v>1269.9023</v>
      </c>
      <c r="M33" s="196">
        <f>IF($C$5="Célibataire-Divorcé-Veuf", 'www.corrigetonimpot (2)'!R22, 'www.corrigetonimpot (2)'!R41)</f>
        <v>1269.9023</v>
      </c>
      <c r="N33" s="196">
        <f>IF($C$5="Célibataire-Divorcé-Veuf", 'www.corrigetonimpot (2)'!S22, 'www.corrigetonimpot (2)'!S41)</f>
        <v>1269.9023</v>
      </c>
      <c r="O33" s="196">
        <f>IF($C$5="Célibataire-Divorcé-Veuf", 'www.corrigetonimpot (2)'!T22, 'www.corrigetonimpot (2)'!T41)</f>
        <v>1269.9023</v>
      </c>
      <c r="P33" s="196">
        <f>IF($C$5="Célibataire-Divorcé-Veuf", 'www.corrigetonimpot (2)'!U22, 'www.corrigetonimpot (2)'!U41)</f>
        <v>1269.9023</v>
      </c>
      <c r="Q33" s="196">
        <f>IF($C$5="Célibataire-Divorcé-Veuf", 'www.corrigetonimpot (2)'!V22, 'www.corrigetonimpot (2)'!V41)</f>
        <v>1269.9023</v>
      </c>
      <c r="R33" s="196">
        <f>IF($C$5="Célibataire-Divorcé-Veuf", 'www.corrigetonimpot (2)'!W22, 'www.corrigetonimpot (2)'!W41)</f>
        <v>1269.9023</v>
      </c>
      <c r="S33" s="291"/>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row>
    <row r="34" spans="1:49" s="90" customFormat="1" ht="21" customHeight="1" x14ac:dyDescent="0.25">
      <c r="A34" s="168"/>
      <c r="B34" s="79"/>
      <c r="C34" s="79"/>
      <c r="D34" s="79"/>
      <c r="E34" s="79"/>
      <c r="F34" s="79"/>
      <c r="G34" s="79"/>
      <c r="H34" s="79"/>
      <c r="I34" s="79"/>
      <c r="J34" s="79"/>
      <c r="K34" s="79"/>
      <c r="L34" s="79"/>
      <c r="M34" s="79"/>
      <c r="N34" s="79"/>
      <c r="O34" s="79"/>
      <c r="P34" s="79"/>
      <c r="Q34" s="79"/>
      <c r="R34" s="169"/>
      <c r="S34" s="291"/>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row>
    <row r="35" spans="1:49" s="90" customFormat="1" ht="32.25" customHeight="1" thickBot="1" x14ac:dyDescent="0.35">
      <c r="A35" s="261" t="s">
        <v>160</v>
      </c>
      <c r="B35" s="262"/>
      <c r="C35" s="262"/>
      <c r="D35" s="262"/>
      <c r="E35" s="262"/>
      <c r="F35" s="262"/>
      <c r="G35" s="262"/>
      <c r="H35" s="262"/>
      <c r="I35" s="262"/>
      <c r="J35" s="262"/>
      <c r="K35" s="262"/>
      <c r="L35" s="262"/>
      <c r="M35" s="262"/>
      <c r="N35" s="262"/>
      <c r="O35" s="262"/>
      <c r="P35" s="262"/>
      <c r="Q35" s="262"/>
      <c r="R35" s="263"/>
      <c r="S35" s="291"/>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row>
    <row r="36" spans="1:49" s="90" customFormat="1" ht="21.75" hidden="1" customHeight="1" thickBot="1" x14ac:dyDescent="0.3">
      <c r="A36" s="170"/>
      <c r="B36" s="74"/>
      <c r="C36" s="74"/>
      <c r="D36" s="74"/>
      <c r="E36" s="74"/>
      <c r="F36" s="74"/>
      <c r="G36" s="74"/>
      <c r="H36" s="74"/>
      <c r="I36" s="74"/>
      <c r="J36" s="74"/>
      <c r="K36" s="74"/>
      <c r="L36" s="74"/>
      <c r="M36" s="74"/>
      <c r="N36" s="74"/>
      <c r="O36" s="74"/>
      <c r="P36" s="74"/>
      <c r="Q36" s="74"/>
      <c r="R36" s="171"/>
      <c r="S36" s="291"/>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row>
    <row r="37" spans="1:49" s="90" customFormat="1" ht="15.75" customHeight="1" x14ac:dyDescent="0.25">
      <c r="A37" s="264" t="s">
        <v>169</v>
      </c>
      <c r="B37" s="265"/>
      <c r="C37" s="266"/>
      <c r="D37" s="125">
        <v>1</v>
      </c>
      <c r="E37" s="125">
        <f t="shared" ref="E37:R37" si="12">D37+1</f>
        <v>2</v>
      </c>
      <c r="F37" s="125">
        <f t="shared" si="12"/>
        <v>3</v>
      </c>
      <c r="G37" s="125">
        <f t="shared" si="12"/>
        <v>4</v>
      </c>
      <c r="H37" s="125">
        <f t="shared" si="12"/>
        <v>5</v>
      </c>
      <c r="I37" s="125">
        <f t="shared" si="12"/>
        <v>6</v>
      </c>
      <c r="J37" s="125">
        <f t="shared" si="12"/>
        <v>7</v>
      </c>
      <c r="K37" s="125">
        <f t="shared" si="12"/>
        <v>8</v>
      </c>
      <c r="L37" s="125">
        <f t="shared" si="12"/>
        <v>9</v>
      </c>
      <c r="M37" s="125">
        <f t="shared" si="12"/>
        <v>10</v>
      </c>
      <c r="N37" s="125">
        <f t="shared" si="12"/>
        <v>11</v>
      </c>
      <c r="O37" s="125">
        <f t="shared" si="12"/>
        <v>12</v>
      </c>
      <c r="P37" s="125">
        <f t="shared" si="12"/>
        <v>13</v>
      </c>
      <c r="Q37" s="125">
        <f t="shared" si="12"/>
        <v>14</v>
      </c>
      <c r="R37" s="126">
        <f t="shared" si="12"/>
        <v>15</v>
      </c>
      <c r="S37" s="291"/>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row>
    <row r="38" spans="1:49" s="90" customFormat="1" ht="28.5" customHeight="1" x14ac:dyDescent="0.25">
      <c r="A38" s="267" t="s">
        <v>129</v>
      </c>
      <c r="B38" s="268"/>
      <c r="C38" s="269"/>
      <c r="D38" s="116">
        <f t="shared" ref="D38:R38" si="13">D16</f>
        <v>10000</v>
      </c>
      <c r="E38" s="117">
        <f t="shared" si="13"/>
        <v>10000</v>
      </c>
      <c r="F38" s="117">
        <f t="shared" si="13"/>
        <v>10000</v>
      </c>
      <c r="G38" s="117">
        <f t="shared" si="13"/>
        <v>10000</v>
      </c>
      <c r="H38" s="117">
        <f t="shared" si="13"/>
        <v>10000</v>
      </c>
      <c r="I38" s="117">
        <f t="shared" si="13"/>
        <v>10000</v>
      </c>
      <c r="J38" s="117">
        <f t="shared" si="13"/>
        <v>10000</v>
      </c>
      <c r="K38" s="117">
        <f t="shared" si="13"/>
        <v>10000</v>
      </c>
      <c r="L38" s="117">
        <f t="shared" si="13"/>
        <v>10000</v>
      </c>
      <c r="M38" s="117">
        <f t="shared" si="13"/>
        <v>10000</v>
      </c>
      <c r="N38" s="117">
        <f t="shared" si="13"/>
        <v>10000</v>
      </c>
      <c r="O38" s="117">
        <f t="shared" si="13"/>
        <v>10000</v>
      </c>
      <c r="P38" s="117">
        <f t="shared" si="13"/>
        <v>10000</v>
      </c>
      <c r="Q38" s="117">
        <f t="shared" si="13"/>
        <v>10000</v>
      </c>
      <c r="R38" s="118">
        <f t="shared" si="13"/>
        <v>10000</v>
      </c>
      <c r="S38" s="291"/>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row>
    <row r="39" spans="1:49" s="90" customFormat="1" ht="28.5" customHeight="1" x14ac:dyDescent="0.25">
      <c r="A39" s="258" t="s">
        <v>157</v>
      </c>
      <c r="B39" s="259"/>
      <c r="C39" s="260"/>
      <c r="D39" s="119">
        <f>'Prêt bien immobilier'!V14+D17+D19</f>
        <v>29334.760000000002</v>
      </c>
      <c r="E39" s="120">
        <f>'Prêt bien immobilier'!V15+E17+E19</f>
        <v>11834.76</v>
      </c>
      <c r="F39" s="120">
        <f>'Prêt bien immobilier'!V16+F17+F19</f>
        <v>9284.76</v>
      </c>
      <c r="G39" s="120">
        <f>'Prêt bien immobilier'!V17+G17+G19</f>
        <v>9284.7599999999984</v>
      </c>
      <c r="H39" s="120">
        <f>'Prêt bien immobilier'!V18+H17+H19</f>
        <v>9284.7599999999984</v>
      </c>
      <c r="I39" s="120">
        <f>'Prêt bien immobilier'!V19+I17+I19</f>
        <v>9284.7599999999984</v>
      </c>
      <c r="J39" s="120">
        <f>'Prêt bien immobilier'!V20+J17+J19</f>
        <v>8837.7599999999984</v>
      </c>
      <c r="K39" s="120">
        <f>'Prêt bien immobilier'!V21+K17+K19</f>
        <v>9284.76</v>
      </c>
      <c r="L39" s="120">
        <f>'Prêt bien immobilier'!V22+L17+L19</f>
        <v>9284.7599999999984</v>
      </c>
      <c r="M39" s="120">
        <f>'Prêt bien immobilier'!V23+M17+M19</f>
        <v>9284.7599999999984</v>
      </c>
      <c r="N39" s="120">
        <f>'Prêt bien immobilier'!V24+N17+N19</f>
        <v>9284.7599999999984</v>
      </c>
      <c r="O39" s="120">
        <f>'Prêt bien immobilier'!V25+O17+O19</f>
        <v>9284.7599999999984</v>
      </c>
      <c r="P39" s="120">
        <f>'Prêt bien immobilier'!V26+P17+P19</f>
        <v>9284.7599999999984</v>
      </c>
      <c r="Q39" s="120">
        <f>'Prêt bien immobilier'!V27+Q17+Q19</f>
        <v>9284.7599999999984</v>
      </c>
      <c r="R39" s="121">
        <f>'Prêt bien immobilier'!V28+R17+R19</f>
        <v>9285.239999999998</v>
      </c>
      <c r="S39" s="291"/>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row>
    <row r="40" spans="1:49" s="90" customFormat="1" ht="28.5" customHeight="1" x14ac:dyDescent="0.25">
      <c r="A40" s="299" t="s">
        <v>130</v>
      </c>
      <c r="B40" s="300"/>
      <c r="C40" s="296" t="s">
        <v>170</v>
      </c>
      <c r="D40" s="122">
        <f>IF((D32-D33)&lt;=0, -(D32-D33), "0")</f>
        <v>1269.9023</v>
      </c>
      <c r="E40" s="123">
        <f t="shared" ref="E40:R40" si="14">IF((E32-E33)&lt;=0, -(E32-E33), "0")</f>
        <v>937.89414000000022</v>
      </c>
      <c r="F40" s="123" t="str">
        <f t="shared" si="14"/>
        <v>0</v>
      </c>
      <c r="G40" s="123" t="str">
        <f t="shared" si="14"/>
        <v>0</v>
      </c>
      <c r="H40" s="123" t="str">
        <f t="shared" si="14"/>
        <v>0</v>
      </c>
      <c r="I40" s="123" t="str">
        <f t="shared" si="14"/>
        <v>0</v>
      </c>
      <c r="J40" s="123" t="str">
        <f t="shared" si="14"/>
        <v>0</v>
      </c>
      <c r="K40" s="123" t="str">
        <f t="shared" si="14"/>
        <v>0</v>
      </c>
      <c r="L40" s="123" t="str">
        <f t="shared" si="14"/>
        <v>0</v>
      </c>
      <c r="M40" s="123" t="str">
        <f t="shared" si="14"/>
        <v>0</v>
      </c>
      <c r="N40" s="123" t="str">
        <f t="shared" si="14"/>
        <v>0</v>
      </c>
      <c r="O40" s="123" t="str">
        <f t="shared" si="14"/>
        <v>0</v>
      </c>
      <c r="P40" s="123" t="str">
        <f t="shared" si="14"/>
        <v>0</v>
      </c>
      <c r="Q40" s="123" t="str">
        <f t="shared" si="14"/>
        <v>0</v>
      </c>
      <c r="R40" s="124" t="str">
        <f t="shared" si="14"/>
        <v>0</v>
      </c>
      <c r="S40" s="291"/>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row>
    <row r="41" spans="1:49" s="90" customFormat="1" ht="9" customHeight="1" x14ac:dyDescent="0.25">
      <c r="A41" s="254" t="s">
        <v>128</v>
      </c>
      <c r="B41" s="255"/>
      <c r="C41" s="297"/>
      <c r="D41" s="115"/>
      <c r="E41" s="80"/>
      <c r="F41" s="80"/>
      <c r="G41" s="80"/>
      <c r="H41" s="80"/>
      <c r="I41" s="80"/>
      <c r="J41" s="80"/>
      <c r="K41" s="80"/>
      <c r="L41" s="80"/>
      <c r="M41" s="80"/>
      <c r="N41" s="80"/>
      <c r="O41" s="80"/>
      <c r="P41" s="80"/>
      <c r="Q41" s="80"/>
      <c r="R41" s="81"/>
      <c r="S41" s="291"/>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row>
    <row r="42" spans="1:49" s="90" customFormat="1" ht="28.5" customHeight="1" x14ac:dyDescent="0.25">
      <c r="A42" s="301" t="s">
        <v>131</v>
      </c>
      <c r="B42" s="302"/>
      <c r="C42" s="298"/>
      <c r="D42" s="190" t="str">
        <f>IF((D32-D33)&gt;0, D32-D33, "0")</f>
        <v>0</v>
      </c>
      <c r="E42" s="191" t="str">
        <f t="shared" ref="E42:R42" si="15">IF((E32-E33)&gt;0, E32-E33, "0")</f>
        <v>0</v>
      </c>
      <c r="F42" s="191">
        <f t="shared" si="15"/>
        <v>235.89450000000056</v>
      </c>
      <c r="G42" s="191">
        <f t="shared" si="15"/>
        <v>268.78346000000101</v>
      </c>
      <c r="H42" s="191">
        <f t="shared" si="15"/>
        <v>302.04058000000009</v>
      </c>
      <c r="I42" s="191">
        <f t="shared" si="15"/>
        <v>335.67057999999997</v>
      </c>
      <c r="J42" s="191">
        <f t="shared" si="15"/>
        <v>580.63858000000073</v>
      </c>
      <c r="K42" s="191">
        <f t="shared" si="15"/>
        <v>404.03034000000048</v>
      </c>
      <c r="L42" s="191">
        <f t="shared" si="15"/>
        <v>438.77425999999923</v>
      </c>
      <c r="M42" s="191">
        <f t="shared" si="15"/>
        <v>473.90522000000078</v>
      </c>
      <c r="N42" s="191">
        <f t="shared" si="15"/>
        <v>509.42793999999935</v>
      </c>
      <c r="O42" s="191">
        <f t="shared" si="15"/>
        <v>545.34714000000122</v>
      </c>
      <c r="P42" s="191">
        <f t="shared" si="15"/>
        <v>2956.6580999999987</v>
      </c>
      <c r="Q42" s="191">
        <f t="shared" si="15"/>
        <v>2993.3702599999988</v>
      </c>
      <c r="R42" s="192">
        <f t="shared" si="15"/>
        <v>3030.4836200000009</v>
      </c>
      <c r="S42" s="291"/>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row>
    <row r="43" spans="1:49" s="128" customFormat="1" ht="36.75" customHeight="1" x14ac:dyDescent="0.25">
      <c r="A43" s="256" t="s">
        <v>159</v>
      </c>
      <c r="B43" s="257"/>
      <c r="C43" s="257"/>
      <c r="D43" s="188">
        <f>D38-D39-D42+D40</f>
        <v>-18064.8577</v>
      </c>
      <c r="E43" s="188">
        <f t="shared" ref="E43:R43" si="16">E38-E39-E42+E40</f>
        <v>-896.86586</v>
      </c>
      <c r="F43" s="188">
        <f t="shared" si="16"/>
        <v>479.34549999999922</v>
      </c>
      <c r="G43" s="188">
        <f t="shared" si="16"/>
        <v>446.45654000000059</v>
      </c>
      <c r="H43" s="188">
        <f t="shared" si="16"/>
        <v>413.19942000000151</v>
      </c>
      <c r="I43" s="188">
        <f t="shared" si="16"/>
        <v>379.56942000000163</v>
      </c>
      <c r="J43" s="188">
        <f t="shared" si="16"/>
        <v>581.60142000000087</v>
      </c>
      <c r="K43" s="188">
        <f t="shared" si="16"/>
        <v>311.2096599999993</v>
      </c>
      <c r="L43" s="188">
        <f t="shared" si="16"/>
        <v>276.46574000000237</v>
      </c>
      <c r="M43" s="188">
        <f t="shared" si="16"/>
        <v>241.33478000000082</v>
      </c>
      <c r="N43" s="188">
        <f t="shared" si="16"/>
        <v>205.81206000000225</v>
      </c>
      <c r="O43" s="188">
        <f t="shared" si="16"/>
        <v>169.89286000000038</v>
      </c>
      <c r="P43" s="188">
        <f t="shared" si="16"/>
        <v>-2241.4180999999971</v>
      </c>
      <c r="Q43" s="188">
        <f t="shared" si="16"/>
        <v>-2278.1302599999972</v>
      </c>
      <c r="R43" s="189">
        <f t="shared" si="16"/>
        <v>-2315.7236199999988</v>
      </c>
      <c r="S43" s="291"/>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130"/>
      <c r="AR43" s="130"/>
      <c r="AS43" s="130"/>
      <c r="AT43" s="130"/>
      <c r="AU43" s="130"/>
      <c r="AV43" s="130"/>
      <c r="AW43" s="130"/>
    </row>
    <row r="44" spans="1:49" s="129" customFormat="1" ht="24" customHeight="1" thickBot="1" x14ac:dyDescent="0.3">
      <c r="A44" s="293" t="s">
        <v>162</v>
      </c>
      <c r="B44" s="294"/>
      <c r="C44" s="294"/>
      <c r="D44" s="294"/>
      <c r="E44" s="294"/>
      <c r="F44" s="294"/>
      <c r="G44" s="294"/>
      <c r="H44" s="294"/>
      <c r="I44" s="294"/>
      <c r="J44" s="294"/>
      <c r="K44" s="294"/>
      <c r="L44" s="294"/>
      <c r="M44" s="294"/>
      <c r="N44" s="294"/>
      <c r="O44" s="294"/>
      <c r="P44" s="294"/>
      <c r="Q44" s="294"/>
      <c r="R44" s="295"/>
      <c r="S44" s="291"/>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91"/>
      <c r="AR44" s="91"/>
      <c r="AS44" s="91"/>
      <c r="AT44" s="91"/>
      <c r="AU44" s="91"/>
      <c r="AV44" s="91"/>
      <c r="AW44" s="91"/>
    </row>
    <row r="45" spans="1:49" s="90" customFormat="1" ht="24" customHeight="1" x14ac:dyDescent="0.25">
      <c r="A45" s="172" t="s">
        <v>117</v>
      </c>
      <c r="B45" s="73"/>
      <c r="C45" s="73"/>
      <c r="D45" s="73"/>
      <c r="E45" s="73"/>
      <c r="F45" s="73"/>
      <c r="G45" s="73"/>
      <c r="H45" s="73"/>
      <c r="I45" s="73"/>
      <c r="J45" s="73"/>
      <c r="K45" s="73"/>
      <c r="L45" s="73"/>
      <c r="M45" s="73"/>
      <c r="N45" s="73"/>
      <c r="O45" s="73"/>
      <c r="P45" s="73"/>
      <c r="Q45" s="73"/>
      <c r="R45" s="153"/>
      <c r="S45" s="291"/>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row>
    <row r="46" spans="1:49" s="90" customFormat="1" ht="21.75" customHeight="1" thickBot="1" x14ac:dyDescent="0.35">
      <c r="A46" s="261" t="s">
        <v>155</v>
      </c>
      <c r="B46" s="262"/>
      <c r="C46" s="262"/>
      <c r="D46" s="262"/>
      <c r="E46" s="262"/>
      <c r="F46" s="262"/>
      <c r="G46" s="262"/>
      <c r="H46" s="262"/>
      <c r="I46" s="262"/>
      <c r="J46" s="262"/>
      <c r="K46" s="262"/>
      <c r="L46" s="262"/>
      <c r="M46" s="262"/>
      <c r="N46" s="262"/>
      <c r="O46" s="262"/>
      <c r="P46" s="262"/>
      <c r="Q46" s="262"/>
      <c r="R46" s="263"/>
      <c r="S46" s="291"/>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row>
    <row r="47" spans="1:49" s="90" customFormat="1" ht="21.75" customHeight="1" x14ac:dyDescent="0.25">
      <c r="A47" s="184" t="s">
        <v>174</v>
      </c>
      <c r="B47" s="185"/>
      <c r="C47" s="185"/>
      <c r="D47" s="185"/>
      <c r="E47" s="185"/>
      <c r="F47" s="186">
        <f>R6</f>
        <v>9</v>
      </c>
      <c r="G47" s="185"/>
      <c r="H47" s="185"/>
      <c r="I47" s="185"/>
      <c r="J47" s="185"/>
      <c r="K47" s="185"/>
      <c r="L47" s="185"/>
      <c r="M47" s="185"/>
      <c r="N47" s="185"/>
      <c r="O47" s="185"/>
      <c r="P47" s="185"/>
      <c r="Q47" s="185"/>
      <c r="R47" s="187"/>
      <c r="S47" s="291"/>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row>
    <row r="48" spans="1:49" s="90" customFormat="1" ht="21.75" customHeight="1" x14ac:dyDescent="0.25">
      <c r="A48" s="152" t="s">
        <v>120</v>
      </c>
      <c r="B48" s="73"/>
      <c r="C48" s="73"/>
      <c r="D48" s="73"/>
      <c r="E48" s="73"/>
      <c r="F48" s="174">
        <f>R7</f>
        <v>250000</v>
      </c>
      <c r="G48" s="73"/>
      <c r="H48" s="73"/>
      <c r="I48" s="73"/>
      <c r="J48" s="73"/>
      <c r="K48" s="73"/>
      <c r="L48" s="73"/>
      <c r="M48" s="73"/>
      <c r="N48" s="73"/>
      <c r="O48" s="73"/>
      <c r="P48" s="73"/>
      <c r="Q48" s="73"/>
      <c r="R48" s="153"/>
      <c r="S48" s="291"/>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row>
    <row r="49" spans="1:42" s="90" customFormat="1" ht="21.75" customHeight="1" x14ac:dyDescent="0.25">
      <c r="A49" s="193" t="s">
        <v>171</v>
      </c>
      <c r="B49" s="73"/>
      <c r="C49" s="73"/>
      <c r="D49" s="73"/>
      <c r="E49" s="73"/>
      <c r="F49" s="80">
        <f>IF(VLOOKUP(R6, 'wwww.corrigetonimpot.Fr'!O3:P33, 2)&lt;&gt;"", VLOOKUP(R6, 'wwww.corrigetonimpot.Fr'!O3:P33, 2), 0)</f>
        <v>41989.179999999993</v>
      </c>
      <c r="G49" s="73"/>
      <c r="H49" s="73"/>
      <c r="I49" s="73"/>
      <c r="J49" s="73"/>
      <c r="K49" s="73"/>
      <c r="L49" s="73"/>
      <c r="M49" s="73"/>
      <c r="N49" s="73"/>
      <c r="O49" s="73"/>
      <c r="P49" s="73"/>
      <c r="Q49" s="73"/>
      <c r="R49" s="153"/>
      <c r="S49" s="291"/>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row>
    <row r="50" spans="1:42" s="90" customFormat="1" ht="21.75" customHeight="1" x14ac:dyDescent="0.25">
      <c r="A50" s="152" t="s">
        <v>121</v>
      </c>
      <c r="B50" s="73"/>
      <c r="C50" s="73"/>
      <c r="D50" s="73"/>
      <c r="E50" s="73"/>
      <c r="F50" s="80">
        <f>'Plus-value immobilière'!C29</f>
        <v>39037.949999999997</v>
      </c>
      <c r="G50" s="73"/>
      <c r="H50" s="73"/>
      <c r="I50" s="73"/>
      <c r="J50" s="73"/>
      <c r="K50" s="127"/>
      <c r="L50" s="73"/>
      <c r="M50" s="73"/>
      <c r="N50" s="73"/>
      <c r="O50" s="73"/>
      <c r="P50" s="73"/>
      <c r="Q50" s="73"/>
      <c r="R50" s="153"/>
      <c r="S50" s="291"/>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row>
    <row r="51" spans="1:42" s="90" customFormat="1" ht="21.75" customHeight="1" thickBot="1" x14ac:dyDescent="0.3">
      <c r="A51" s="154" t="s">
        <v>158</v>
      </c>
      <c r="B51" s="155"/>
      <c r="C51" s="155"/>
      <c r="D51" s="155"/>
      <c r="E51" s="155"/>
      <c r="F51" s="194">
        <f>VLOOKUP(R6, 'wwww.corrigetonimpot.Fr'!V3:W33, 2)</f>
        <v>0.32424022726776536</v>
      </c>
      <c r="G51" s="155"/>
      <c r="H51" s="155"/>
      <c r="I51" s="155"/>
      <c r="J51" s="155"/>
      <c r="K51" s="155"/>
      <c r="L51" s="155"/>
      <c r="M51" s="155"/>
      <c r="N51" s="155"/>
      <c r="O51" s="155"/>
      <c r="P51" s="155"/>
      <c r="Q51" s="155"/>
      <c r="R51" s="156"/>
      <c r="S51" s="291"/>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row>
    <row r="52" spans="1:42" ht="15" customHeight="1" x14ac:dyDescent="0.25">
      <c r="A52" s="182"/>
      <c r="B52" s="83"/>
      <c r="C52" s="83"/>
      <c r="D52" s="83"/>
      <c r="E52" s="83"/>
      <c r="F52" s="83"/>
      <c r="G52" s="83"/>
      <c r="H52" s="83"/>
      <c r="I52" s="83"/>
      <c r="J52" s="83"/>
      <c r="K52" s="83"/>
      <c r="L52" s="83"/>
      <c r="M52" s="83"/>
      <c r="N52" s="83"/>
      <c r="O52" s="83"/>
      <c r="P52" s="83"/>
      <c r="Q52" s="83"/>
      <c r="R52" s="183"/>
      <c r="S52" s="291"/>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row>
    <row r="53" spans="1:42" ht="15" customHeight="1" x14ac:dyDescent="0.25">
      <c r="A53" s="231" t="s">
        <v>163</v>
      </c>
      <c r="B53" s="232"/>
      <c r="C53" s="232"/>
      <c r="D53" s="232"/>
      <c r="E53" s="232"/>
      <c r="F53" s="232"/>
      <c r="G53" s="232"/>
      <c r="H53" s="232"/>
      <c r="I53" s="232"/>
      <c r="J53" s="232"/>
      <c r="K53" s="232"/>
      <c r="L53" s="232"/>
      <c r="M53" s="232"/>
      <c r="N53" s="232"/>
      <c r="O53" s="232"/>
      <c r="P53" s="232"/>
      <c r="Q53" s="232"/>
      <c r="R53" s="233"/>
      <c r="S53" s="291"/>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row>
    <row r="54" spans="1:42" ht="15.75" customHeight="1" x14ac:dyDescent="0.25">
      <c r="A54" s="246"/>
      <c r="B54" s="247"/>
      <c r="C54" s="247"/>
      <c r="D54" s="92"/>
      <c r="E54" s="92"/>
      <c r="F54" s="92"/>
      <c r="G54" s="92"/>
      <c r="H54" s="92"/>
      <c r="I54" s="92"/>
      <c r="J54" s="92"/>
      <c r="K54" s="92"/>
      <c r="L54" s="92"/>
      <c r="M54" s="92"/>
      <c r="N54" s="92"/>
      <c r="O54" s="92"/>
      <c r="P54" s="92"/>
      <c r="Q54" s="92"/>
      <c r="R54" s="173"/>
      <c r="S54" s="291"/>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row>
    <row r="55" spans="1:42" ht="15" customHeight="1" x14ac:dyDescent="0.25">
      <c r="A55" s="61"/>
      <c r="D55" s="93"/>
      <c r="R55" s="63"/>
      <c r="S55" s="291"/>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row>
    <row r="56" spans="1:42" ht="15" customHeight="1" x14ac:dyDescent="0.25">
      <c r="A56" s="61"/>
      <c r="D56" s="93"/>
      <c r="H56" s="94"/>
      <c r="I56" s="94"/>
      <c r="R56" s="63"/>
      <c r="S56" s="291"/>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row>
    <row r="57" spans="1:42" ht="15" customHeight="1" x14ac:dyDescent="0.25">
      <c r="A57" s="61"/>
      <c r="D57" s="93"/>
      <c r="R57" s="63"/>
      <c r="S57" s="291"/>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row>
    <row r="58" spans="1:42" ht="15" customHeight="1" x14ac:dyDescent="0.25">
      <c r="A58" s="61"/>
      <c r="R58" s="63"/>
      <c r="S58" s="291"/>
      <c r="T58" s="292"/>
      <c r="U58" s="292"/>
      <c r="V58" s="292"/>
      <c r="W58" s="292"/>
      <c r="X58" s="292"/>
      <c r="Y58" s="292"/>
      <c r="Z58" s="292"/>
      <c r="AA58" s="292"/>
      <c r="AB58" s="292"/>
      <c r="AC58" s="292"/>
      <c r="AD58" s="292"/>
      <c r="AE58" s="292"/>
      <c r="AF58" s="292"/>
      <c r="AG58" s="292"/>
      <c r="AH58" s="292"/>
      <c r="AI58" s="292"/>
      <c r="AJ58" s="292"/>
      <c r="AK58" s="292"/>
      <c r="AL58" s="292"/>
      <c r="AM58" s="292"/>
      <c r="AN58" s="292"/>
      <c r="AO58" s="292"/>
      <c r="AP58" s="292"/>
    </row>
    <row r="59" spans="1:42" ht="15" customHeight="1" x14ac:dyDescent="0.25">
      <c r="A59" s="61"/>
      <c r="R59" s="63"/>
      <c r="S59" s="291"/>
      <c r="T59" s="292"/>
      <c r="U59" s="292"/>
      <c r="V59" s="292"/>
      <c r="W59" s="292"/>
      <c r="X59" s="292"/>
      <c r="Y59" s="292"/>
      <c r="Z59" s="292"/>
      <c r="AA59" s="292"/>
      <c r="AB59" s="292"/>
      <c r="AC59" s="292"/>
      <c r="AD59" s="292"/>
      <c r="AE59" s="292"/>
      <c r="AF59" s="292"/>
      <c r="AG59" s="292"/>
      <c r="AH59" s="292"/>
      <c r="AI59" s="292"/>
      <c r="AJ59" s="292"/>
      <c r="AK59" s="292"/>
      <c r="AL59" s="292"/>
      <c r="AM59" s="292"/>
      <c r="AN59" s="292"/>
      <c r="AO59" s="292"/>
      <c r="AP59" s="292"/>
    </row>
    <row r="60" spans="1:42" ht="15" customHeight="1" x14ac:dyDescent="0.25">
      <c r="A60" s="61"/>
      <c r="R60" s="63"/>
      <c r="S60" s="291"/>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row>
    <row r="61" spans="1:42" ht="15" customHeight="1" x14ac:dyDescent="0.25">
      <c r="A61" s="61"/>
      <c r="R61" s="63"/>
      <c r="S61" s="291"/>
      <c r="T61" s="292"/>
      <c r="U61" s="292"/>
      <c r="V61" s="292"/>
      <c r="W61" s="292"/>
      <c r="X61" s="292"/>
      <c r="Y61" s="292"/>
      <c r="Z61" s="292"/>
      <c r="AA61" s="292"/>
      <c r="AB61" s="292"/>
      <c r="AC61" s="292"/>
      <c r="AD61" s="292"/>
      <c r="AE61" s="292"/>
      <c r="AF61" s="292"/>
      <c r="AG61" s="292"/>
      <c r="AH61" s="292"/>
      <c r="AI61" s="292"/>
      <c r="AJ61" s="292"/>
      <c r="AK61" s="292"/>
      <c r="AL61" s="292"/>
      <c r="AM61" s="292"/>
      <c r="AN61" s="292"/>
      <c r="AO61" s="292"/>
      <c r="AP61" s="292"/>
    </row>
    <row r="62" spans="1:42" ht="15" customHeight="1" x14ac:dyDescent="0.25">
      <c r="A62" s="61"/>
      <c r="R62" s="63"/>
      <c r="S62" s="291"/>
      <c r="T62" s="292"/>
      <c r="U62" s="292"/>
      <c r="V62" s="292"/>
      <c r="W62" s="292"/>
      <c r="X62" s="292"/>
      <c r="Y62" s="292"/>
      <c r="Z62" s="292"/>
      <c r="AA62" s="292"/>
      <c r="AB62" s="292"/>
      <c r="AC62" s="292"/>
      <c r="AD62" s="292"/>
      <c r="AE62" s="292"/>
      <c r="AF62" s="292"/>
      <c r="AG62" s="292"/>
      <c r="AH62" s="292"/>
      <c r="AI62" s="292"/>
      <c r="AJ62" s="292"/>
      <c r="AK62" s="292"/>
      <c r="AL62" s="292"/>
      <c r="AM62" s="292"/>
      <c r="AN62" s="292"/>
      <c r="AO62" s="292"/>
      <c r="AP62" s="292"/>
    </row>
    <row r="63" spans="1:42" ht="15" customHeight="1" x14ac:dyDescent="0.25">
      <c r="A63" s="61"/>
      <c r="R63" s="63"/>
      <c r="S63" s="291"/>
      <c r="T63" s="292"/>
      <c r="U63" s="292"/>
      <c r="V63" s="292"/>
      <c r="W63" s="292"/>
      <c r="X63" s="292"/>
      <c r="Y63" s="292"/>
      <c r="Z63" s="292"/>
      <c r="AA63" s="292"/>
      <c r="AB63" s="292"/>
      <c r="AC63" s="292"/>
      <c r="AD63" s="292"/>
      <c r="AE63" s="292"/>
      <c r="AF63" s="292"/>
      <c r="AG63" s="292"/>
      <c r="AH63" s="292"/>
      <c r="AI63" s="292"/>
      <c r="AJ63" s="292"/>
      <c r="AK63" s="292"/>
      <c r="AL63" s="292"/>
      <c r="AM63" s="292"/>
      <c r="AN63" s="292"/>
      <c r="AO63" s="292"/>
      <c r="AP63" s="292"/>
    </row>
    <row r="64" spans="1:42" ht="15" customHeight="1" x14ac:dyDescent="0.25">
      <c r="A64" s="61"/>
      <c r="R64" s="63"/>
      <c r="S64" s="291"/>
      <c r="T64" s="292"/>
      <c r="U64" s="292"/>
      <c r="V64" s="292"/>
      <c r="W64" s="292"/>
      <c r="X64" s="292"/>
      <c r="Y64" s="292"/>
      <c r="Z64" s="292"/>
      <c r="AA64" s="292"/>
      <c r="AB64" s="292"/>
      <c r="AC64" s="292"/>
      <c r="AD64" s="292"/>
      <c r="AE64" s="292"/>
      <c r="AF64" s="292"/>
      <c r="AG64" s="292"/>
      <c r="AH64" s="292"/>
      <c r="AI64" s="292"/>
      <c r="AJ64" s="292"/>
      <c r="AK64" s="292"/>
      <c r="AL64" s="292"/>
      <c r="AM64" s="292"/>
      <c r="AN64" s="292"/>
      <c r="AO64" s="292"/>
      <c r="AP64" s="292"/>
    </row>
    <row r="65" spans="1:42" ht="15" customHeight="1" x14ac:dyDescent="0.25">
      <c r="A65" s="61"/>
      <c r="R65" s="63"/>
      <c r="S65" s="291"/>
      <c r="T65" s="292"/>
      <c r="U65" s="292"/>
      <c r="V65" s="292"/>
      <c r="W65" s="292"/>
      <c r="X65" s="292"/>
      <c r="Y65" s="292"/>
      <c r="Z65" s="292"/>
      <c r="AA65" s="292"/>
      <c r="AB65" s="292"/>
      <c r="AC65" s="292"/>
      <c r="AD65" s="292"/>
      <c r="AE65" s="292"/>
      <c r="AF65" s="292"/>
      <c r="AG65" s="292"/>
      <c r="AH65" s="292"/>
      <c r="AI65" s="292"/>
      <c r="AJ65" s="292"/>
      <c r="AK65" s="292"/>
      <c r="AL65" s="292"/>
      <c r="AM65" s="292"/>
      <c r="AN65" s="292"/>
      <c r="AO65" s="292"/>
      <c r="AP65" s="292"/>
    </row>
    <row r="66" spans="1:42" ht="15" customHeight="1" x14ac:dyDescent="0.25">
      <c r="A66" s="61"/>
      <c r="R66" s="63"/>
      <c r="S66" s="291"/>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P66" s="292"/>
    </row>
    <row r="67" spans="1:42" ht="15" customHeight="1" x14ac:dyDescent="0.25">
      <c r="A67" s="61"/>
      <c r="R67" s="63"/>
      <c r="S67" s="291"/>
      <c r="T67" s="292"/>
      <c r="U67" s="292"/>
      <c r="V67" s="292"/>
      <c r="W67" s="292"/>
      <c r="X67" s="292"/>
      <c r="Y67" s="292"/>
      <c r="Z67" s="292"/>
      <c r="AA67" s="292"/>
      <c r="AB67" s="292"/>
      <c r="AC67" s="292"/>
      <c r="AD67" s="292"/>
      <c r="AE67" s="292"/>
      <c r="AF67" s="292"/>
      <c r="AG67" s="292"/>
      <c r="AH67" s="292"/>
      <c r="AI67" s="292"/>
      <c r="AJ67" s="292"/>
      <c r="AK67" s="292"/>
      <c r="AL67" s="292"/>
      <c r="AM67" s="292"/>
      <c r="AN67" s="292"/>
      <c r="AO67" s="292"/>
      <c r="AP67" s="292"/>
    </row>
    <row r="68" spans="1:42" ht="15" customHeight="1" x14ac:dyDescent="0.25">
      <c r="A68" s="61"/>
      <c r="R68" s="63"/>
      <c r="S68" s="291"/>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row>
    <row r="69" spans="1:42" ht="15" customHeight="1" x14ac:dyDescent="0.25">
      <c r="A69" s="61"/>
      <c r="R69" s="63"/>
      <c r="S69" s="291"/>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row>
    <row r="70" spans="1:42" ht="12.75" customHeight="1" x14ac:dyDescent="0.25">
      <c r="A70" s="61"/>
      <c r="R70" s="63"/>
      <c r="S70" s="291"/>
      <c r="T70" s="292"/>
      <c r="U70" s="292"/>
      <c r="V70" s="292"/>
      <c r="W70" s="292"/>
      <c r="X70" s="292"/>
      <c r="Y70" s="292"/>
      <c r="Z70" s="292"/>
      <c r="AA70" s="292"/>
      <c r="AB70" s="292"/>
      <c r="AC70" s="292"/>
      <c r="AD70" s="292"/>
      <c r="AE70" s="292"/>
      <c r="AF70" s="292"/>
      <c r="AG70" s="292"/>
      <c r="AH70" s="292"/>
      <c r="AI70" s="292"/>
      <c r="AJ70" s="292"/>
      <c r="AK70" s="292"/>
      <c r="AL70" s="292"/>
      <c r="AM70" s="292"/>
      <c r="AN70" s="292"/>
      <c r="AO70" s="292"/>
      <c r="AP70" s="292"/>
    </row>
    <row r="71" spans="1:42" ht="15" customHeight="1" thickBot="1" x14ac:dyDescent="0.3">
      <c r="A71" s="286" t="s">
        <v>187</v>
      </c>
      <c r="B71" s="287"/>
      <c r="C71" s="287"/>
      <c r="D71" s="287"/>
      <c r="E71" s="287"/>
      <c r="F71" s="287"/>
      <c r="G71" s="287"/>
      <c r="H71" s="287"/>
      <c r="I71" s="287"/>
      <c r="J71" s="287"/>
      <c r="K71" s="287"/>
      <c r="L71" s="287"/>
      <c r="M71" s="287"/>
      <c r="N71" s="287"/>
      <c r="O71" s="287"/>
      <c r="P71" s="287"/>
      <c r="Q71" s="287"/>
      <c r="R71" s="288"/>
      <c r="S71" s="291"/>
      <c r="T71" s="292"/>
      <c r="U71" s="292"/>
      <c r="V71" s="292"/>
      <c r="W71" s="292"/>
      <c r="X71" s="292"/>
      <c r="Y71" s="292"/>
      <c r="Z71" s="292"/>
      <c r="AA71" s="292"/>
      <c r="AB71" s="292"/>
      <c r="AC71" s="292"/>
      <c r="AD71" s="292"/>
      <c r="AE71" s="292"/>
      <c r="AF71" s="292"/>
      <c r="AG71" s="292"/>
      <c r="AH71" s="292"/>
      <c r="AI71" s="292"/>
      <c r="AJ71" s="292"/>
      <c r="AK71" s="292"/>
      <c r="AL71" s="292"/>
      <c r="AM71" s="292"/>
      <c r="AN71" s="292"/>
      <c r="AO71" s="292"/>
      <c r="AP71" s="292"/>
    </row>
    <row r="72" spans="1:42" ht="15" customHeight="1" x14ac:dyDescent="0.25">
      <c r="S72" s="132"/>
      <c r="T72" s="132"/>
      <c r="U72" s="132"/>
      <c r="V72" s="132"/>
      <c r="W72" s="132"/>
      <c r="X72" s="132"/>
      <c r="Y72" s="132"/>
      <c r="Z72" s="132"/>
      <c r="AA72" s="132"/>
      <c r="AB72" s="132"/>
      <c r="AC72" s="132"/>
      <c r="AD72" s="131"/>
      <c r="AE72" s="131"/>
    </row>
    <row r="73" spans="1:42" ht="15" customHeight="1" x14ac:dyDescent="0.25">
      <c r="S73" s="132"/>
      <c r="T73" s="132"/>
      <c r="U73" s="132"/>
      <c r="V73" s="132"/>
      <c r="W73" s="132"/>
      <c r="X73" s="132"/>
      <c r="Y73" s="132"/>
      <c r="Z73" s="132"/>
      <c r="AA73" s="132"/>
      <c r="AB73" s="132"/>
      <c r="AC73" s="132"/>
      <c r="AD73" s="131"/>
      <c r="AE73" s="131"/>
    </row>
    <row r="74" spans="1:42" ht="15" customHeight="1" x14ac:dyDescent="0.25">
      <c r="S74" s="132"/>
      <c r="T74" s="132"/>
      <c r="U74" s="132"/>
      <c r="V74" s="132"/>
      <c r="W74" s="132"/>
      <c r="X74" s="132"/>
      <c r="Y74" s="132"/>
      <c r="Z74" s="132"/>
      <c r="AA74" s="132"/>
      <c r="AB74" s="132"/>
      <c r="AC74" s="132"/>
      <c r="AD74" s="131"/>
      <c r="AE74" s="131"/>
    </row>
    <row r="75" spans="1:42" ht="15" customHeight="1" x14ac:dyDescent="0.25">
      <c r="S75" s="132"/>
      <c r="T75" s="132"/>
      <c r="U75" s="132"/>
      <c r="V75" s="132"/>
      <c r="W75" s="132"/>
      <c r="X75" s="132"/>
      <c r="Y75" s="132"/>
      <c r="Z75" s="132"/>
      <c r="AA75" s="132"/>
      <c r="AB75" s="132"/>
      <c r="AC75" s="132"/>
      <c r="AD75" s="131"/>
      <c r="AE75" s="131"/>
    </row>
    <row r="76" spans="1:42" ht="15" customHeight="1" x14ac:dyDescent="0.25">
      <c r="S76" s="132"/>
      <c r="T76" s="132"/>
      <c r="U76" s="132"/>
      <c r="V76" s="132"/>
      <c r="W76" s="132"/>
      <c r="X76" s="132"/>
      <c r="Y76" s="132"/>
      <c r="Z76" s="132"/>
      <c r="AA76" s="132"/>
      <c r="AB76" s="132"/>
      <c r="AC76" s="132"/>
      <c r="AD76" s="131"/>
      <c r="AE76" s="131"/>
    </row>
    <row r="77" spans="1:42" ht="15.75" x14ac:dyDescent="0.25">
      <c r="S77" s="95"/>
      <c r="T77" s="95"/>
      <c r="U77" s="95"/>
      <c r="V77" s="95"/>
      <c r="W77" s="95"/>
      <c r="X77" s="95"/>
      <c r="Y77" s="95"/>
      <c r="Z77" s="95"/>
      <c r="AA77" s="95"/>
      <c r="AB77" s="95"/>
      <c r="AC77" s="95"/>
    </row>
    <row r="78" spans="1:42" ht="15.75" x14ac:dyDescent="0.25">
      <c r="S78" s="95"/>
      <c r="T78" s="95"/>
      <c r="U78" s="95"/>
      <c r="V78" s="95"/>
      <c r="W78" s="95"/>
      <c r="X78" s="95"/>
      <c r="Y78" s="95"/>
      <c r="Z78" s="95"/>
      <c r="AA78" s="95"/>
      <c r="AB78" s="95"/>
      <c r="AC78" s="95"/>
    </row>
    <row r="79" spans="1:42" ht="15.75" x14ac:dyDescent="0.25">
      <c r="S79" s="95"/>
      <c r="T79" s="95"/>
      <c r="U79" s="95"/>
      <c r="V79" s="95"/>
      <c r="W79" s="95"/>
      <c r="X79" s="95"/>
      <c r="Y79" s="95"/>
      <c r="Z79" s="95"/>
      <c r="AA79" s="95"/>
      <c r="AB79" s="95"/>
      <c r="AC79" s="95"/>
    </row>
    <row r="80" spans="1:42" ht="15.75" x14ac:dyDescent="0.25">
      <c r="S80" s="95"/>
      <c r="T80" s="95"/>
      <c r="U80" s="95"/>
      <c r="V80" s="95"/>
      <c r="W80" s="95"/>
      <c r="X80" s="95"/>
      <c r="Y80" s="95"/>
      <c r="Z80" s="95"/>
      <c r="AA80" s="95"/>
      <c r="AB80" s="95"/>
      <c r="AC80" s="95"/>
    </row>
    <row r="81" spans="8:29" ht="15.75" x14ac:dyDescent="0.25">
      <c r="S81" s="95"/>
      <c r="T81" s="95"/>
      <c r="U81" s="95"/>
      <c r="V81" s="95"/>
      <c r="W81" s="95"/>
      <c r="X81" s="95"/>
      <c r="Y81" s="95"/>
      <c r="Z81" s="95"/>
      <c r="AA81" s="95"/>
      <c r="AB81" s="95"/>
      <c r="AC81" s="95"/>
    </row>
    <row r="82" spans="8:29" ht="15.75" x14ac:dyDescent="0.25">
      <c r="S82" s="95"/>
      <c r="T82" s="95"/>
      <c r="U82" s="95"/>
      <c r="V82" s="95"/>
      <c r="W82" s="95"/>
      <c r="X82" s="95"/>
      <c r="Y82" s="95"/>
      <c r="Z82" s="95"/>
      <c r="AA82" s="95"/>
      <c r="AB82" s="95"/>
      <c r="AC82" s="95"/>
    </row>
    <row r="83" spans="8:29" ht="15.75" x14ac:dyDescent="0.25">
      <c r="S83" s="95"/>
      <c r="T83" s="95"/>
      <c r="U83" s="95"/>
      <c r="V83" s="95"/>
      <c r="W83" s="95"/>
      <c r="X83" s="95"/>
      <c r="Y83" s="95"/>
      <c r="Z83" s="95"/>
      <c r="AA83" s="95"/>
      <c r="AB83" s="95"/>
      <c r="AC83" s="95"/>
    </row>
    <row r="84" spans="8:29" ht="15.75" x14ac:dyDescent="0.25">
      <c r="S84" s="95"/>
      <c r="T84" s="95"/>
      <c r="U84" s="95"/>
      <c r="V84" s="95"/>
      <c r="W84" s="95"/>
      <c r="X84" s="95"/>
      <c r="Y84" s="95"/>
      <c r="Z84" s="95"/>
      <c r="AA84" s="95"/>
      <c r="AB84" s="95"/>
      <c r="AC84" s="95"/>
    </row>
    <row r="85" spans="8:29" ht="15.75" x14ac:dyDescent="0.25">
      <c r="S85" s="95"/>
      <c r="T85" s="95"/>
      <c r="U85" s="95"/>
      <c r="V85" s="95"/>
      <c r="W85" s="95"/>
      <c r="X85" s="95"/>
      <c r="Y85" s="95"/>
      <c r="Z85" s="95"/>
      <c r="AA85" s="95"/>
      <c r="AB85" s="95"/>
      <c r="AC85" s="95"/>
    </row>
    <row r="86" spans="8:29" ht="15.75" x14ac:dyDescent="0.25">
      <c r="S86" s="95"/>
      <c r="T86" s="95"/>
      <c r="U86" s="95"/>
      <c r="V86" s="95"/>
      <c r="W86" s="95"/>
      <c r="X86" s="95"/>
      <c r="Y86" s="95"/>
      <c r="Z86" s="95"/>
      <c r="AA86" s="95"/>
      <c r="AB86" s="95"/>
      <c r="AC86" s="95"/>
    </row>
    <row r="87" spans="8:29" ht="15.75" x14ac:dyDescent="0.25">
      <c r="S87" s="95"/>
      <c r="T87" s="95"/>
      <c r="U87" s="95"/>
      <c r="V87" s="95"/>
      <c r="W87" s="95"/>
      <c r="X87" s="95"/>
      <c r="Y87" s="95"/>
      <c r="Z87" s="95"/>
      <c r="AA87" s="95"/>
      <c r="AB87" s="95"/>
      <c r="AC87" s="95"/>
    </row>
    <row r="88" spans="8:29" ht="15.75" x14ac:dyDescent="0.25">
      <c r="S88" s="95"/>
      <c r="T88" s="95"/>
      <c r="U88" s="95"/>
      <c r="V88" s="95"/>
      <c r="W88" s="95"/>
      <c r="X88" s="95"/>
      <c r="Y88" s="95"/>
      <c r="Z88" s="95"/>
      <c r="AA88" s="95"/>
      <c r="AB88" s="95"/>
      <c r="AC88" s="95"/>
    </row>
    <row r="89" spans="8:29" ht="15.75" x14ac:dyDescent="0.25">
      <c r="S89" s="95"/>
      <c r="T89" s="95"/>
      <c r="U89" s="95"/>
      <c r="V89" s="95"/>
      <c r="W89" s="95"/>
      <c r="X89" s="95"/>
      <c r="Y89" s="95"/>
      <c r="Z89" s="95"/>
      <c r="AA89" s="95"/>
      <c r="AB89" s="95"/>
      <c r="AC89" s="95"/>
    </row>
    <row r="90" spans="8:29" ht="15.75" x14ac:dyDescent="0.25">
      <c r="S90" s="95"/>
      <c r="T90" s="95"/>
      <c r="U90" s="95"/>
      <c r="V90" s="95"/>
      <c r="W90" s="95"/>
      <c r="X90" s="95"/>
      <c r="Y90" s="95"/>
      <c r="Z90" s="95"/>
      <c r="AA90" s="95"/>
      <c r="AB90" s="95"/>
      <c r="AC90" s="95"/>
    </row>
    <row r="91" spans="8:29" ht="15.75" x14ac:dyDescent="0.25">
      <c r="S91" s="95"/>
      <c r="T91" s="95"/>
      <c r="U91" s="95"/>
      <c r="V91" s="95"/>
      <c r="W91" s="95"/>
      <c r="X91" s="95"/>
      <c r="Y91" s="95"/>
      <c r="Z91" s="95"/>
      <c r="AA91" s="95"/>
      <c r="AB91" s="95"/>
      <c r="AC91" s="95"/>
    </row>
    <row r="92" spans="8:29" ht="15.75" x14ac:dyDescent="0.25">
      <c r="H92" s="144"/>
      <c r="I92" s="144"/>
      <c r="J92" s="144"/>
      <c r="S92" s="95"/>
      <c r="T92" s="95"/>
      <c r="U92" s="95"/>
      <c r="V92" s="95"/>
      <c r="W92" s="95"/>
      <c r="X92" s="95"/>
      <c r="Y92" s="95"/>
      <c r="Z92" s="95"/>
      <c r="AA92" s="95"/>
      <c r="AB92" s="95"/>
      <c r="AC92" s="95"/>
    </row>
    <row r="93" spans="8:29" ht="15.75" x14ac:dyDescent="0.25">
      <c r="H93" s="144"/>
      <c r="I93" s="144"/>
      <c r="J93" s="144"/>
      <c r="S93" s="95"/>
      <c r="T93" s="95"/>
      <c r="U93" s="95"/>
      <c r="V93" s="95"/>
      <c r="W93" s="95"/>
      <c r="X93" s="95"/>
      <c r="Y93" s="95"/>
      <c r="Z93" s="95"/>
      <c r="AA93" s="95"/>
      <c r="AB93" s="95"/>
      <c r="AC93" s="95"/>
    </row>
    <row r="94" spans="8:29" ht="15.75" x14ac:dyDescent="0.25">
      <c r="H94" s="144">
        <v>0</v>
      </c>
      <c r="I94" s="144"/>
      <c r="J94" s="144" t="s">
        <v>178</v>
      </c>
      <c r="S94" s="95"/>
      <c r="T94" s="95"/>
      <c r="U94" s="95"/>
      <c r="V94" s="95"/>
      <c r="W94" s="95"/>
      <c r="X94" s="95"/>
      <c r="Y94" s="95"/>
      <c r="Z94" s="95"/>
      <c r="AA94" s="95"/>
      <c r="AB94" s="95"/>
      <c r="AC94" s="95"/>
    </row>
    <row r="95" spans="8:29" ht="15.75" x14ac:dyDescent="0.25">
      <c r="H95" s="144">
        <v>1</v>
      </c>
      <c r="I95" s="144"/>
      <c r="J95" s="144" t="s">
        <v>176</v>
      </c>
      <c r="S95" s="95"/>
      <c r="T95" s="95"/>
      <c r="U95" s="95"/>
      <c r="V95" s="95"/>
      <c r="W95" s="95"/>
      <c r="X95" s="95"/>
      <c r="Y95" s="95"/>
      <c r="Z95" s="95"/>
      <c r="AA95" s="95"/>
      <c r="AB95" s="95"/>
      <c r="AC95" s="95"/>
    </row>
    <row r="96" spans="8:29" ht="15.75" x14ac:dyDescent="0.25">
      <c r="H96" s="144">
        <v>2</v>
      </c>
      <c r="I96" s="144"/>
      <c r="J96" s="144" t="s">
        <v>177</v>
      </c>
      <c r="S96" s="95"/>
      <c r="T96" s="95"/>
      <c r="U96" s="95"/>
      <c r="V96" s="95"/>
      <c r="W96" s="95"/>
      <c r="X96" s="95"/>
      <c r="Y96" s="95"/>
      <c r="Z96" s="95"/>
      <c r="AA96" s="95"/>
      <c r="AB96" s="95"/>
      <c r="AC96" s="95"/>
    </row>
    <row r="97" spans="8:29" ht="15.75" x14ac:dyDescent="0.25">
      <c r="H97" s="144">
        <v>3</v>
      </c>
      <c r="I97" s="144"/>
      <c r="J97" s="144"/>
      <c r="S97" s="95"/>
      <c r="T97" s="95"/>
      <c r="U97" s="95"/>
      <c r="V97" s="95"/>
      <c r="W97" s="95"/>
      <c r="X97" s="95"/>
      <c r="Y97" s="95"/>
      <c r="Z97" s="95"/>
      <c r="AA97" s="95"/>
      <c r="AB97" s="95"/>
      <c r="AC97" s="95"/>
    </row>
    <row r="98" spans="8:29" ht="15.75" x14ac:dyDescent="0.25">
      <c r="H98" s="144">
        <v>4</v>
      </c>
      <c r="I98" s="144"/>
      <c r="J98" s="144"/>
      <c r="S98" s="95"/>
      <c r="T98" s="95"/>
      <c r="U98" s="95"/>
      <c r="V98" s="95"/>
      <c r="W98" s="95"/>
      <c r="X98" s="95"/>
      <c r="Y98" s="95"/>
      <c r="Z98" s="95"/>
      <c r="AA98" s="95"/>
      <c r="AB98" s="95"/>
      <c r="AC98" s="95"/>
    </row>
    <row r="99" spans="8:29" ht="15.75" x14ac:dyDescent="0.25">
      <c r="S99" s="95"/>
      <c r="T99" s="95"/>
      <c r="U99" s="95"/>
      <c r="V99" s="95"/>
      <c r="W99" s="95"/>
      <c r="X99" s="95"/>
      <c r="Y99" s="95"/>
      <c r="Z99" s="95"/>
      <c r="AA99" s="95"/>
      <c r="AB99" s="95"/>
      <c r="AC99" s="95"/>
    </row>
    <row r="100" spans="8:29" ht="15.75" x14ac:dyDescent="0.25">
      <c r="S100" s="95"/>
      <c r="T100" s="95"/>
      <c r="U100" s="95"/>
      <c r="V100" s="95"/>
      <c r="W100" s="95"/>
      <c r="X100" s="95"/>
      <c r="Y100" s="95"/>
      <c r="Z100" s="95"/>
      <c r="AA100" s="95"/>
      <c r="AB100" s="95"/>
      <c r="AC100" s="95"/>
    </row>
    <row r="101" spans="8:29" ht="15.75" x14ac:dyDescent="0.25">
      <c r="S101" s="95"/>
      <c r="T101" s="95"/>
      <c r="U101" s="95"/>
      <c r="V101" s="95"/>
      <c r="W101" s="95"/>
      <c r="X101" s="95"/>
      <c r="Y101" s="95"/>
      <c r="Z101" s="95"/>
      <c r="AA101" s="95"/>
      <c r="AB101" s="95"/>
      <c r="AC101" s="95"/>
    </row>
    <row r="102" spans="8:29" ht="15.75" x14ac:dyDescent="0.25">
      <c r="S102" s="95"/>
      <c r="T102" s="95"/>
      <c r="U102" s="95"/>
      <c r="V102" s="95"/>
      <c r="W102" s="95"/>
      <c r="X102" s="95"/>
      <c r="Y102" s="95"/>
      <c r="Z102" s="95"/>
      <c r="AA102" s="95"/>
      <c r="AB102" s="95"/>
      <c r="AC102" s="95"/>
    </row>
    <row r="103" spans="8:29" ht="15.75" x14ac:dyDescent="0.25">
      <c r="S103" s="95"/>
      <c r="T103" s="95"/>
      <c r="U103" s="95"/>
      <c r="V103" s="95"/>
      <c r="W103" s="95"/>
      <c r="X103" s="95"/>
      <c r="Y103" s="95"/>
      <c r="Z103" s="95"/>
      <c r="AA103" s="95"/>
      <c r="AB103" s="95"/>
      <c r="AC103" s="95"/>
    </row>
    <row r="104" spans="8:29" ht="15.75" x14ac:dyDescent="0.25">
      <c r="S104" s="95"/>
      <c r="T104" s="95"/>
      <c r="U104" s="95"/>
      <c r="V104" s="95"/>
      <c r="W104" s="95"/>
      <c r="X104" s="95"/>
      <c r="Y104" s="95"/>
      <c r="Z104" s="95"/>
      <c r="AA104" s="95"/>
      <c r="AB104" s="95"/>
      <c r="AC104" s="95"/>
    </row>
    <row r="105" spans="8:29" ht="15.75" x14ac:dyDescent="0.25">
      <c r="S105" s="95"/>
      <c r="T105" s="95"/>
      <c r="U105" s="95"/>
      <c r="V105" s="95"/>
      <c r="W105" s="95"/>
      <c r="X105" s="95"/>
      <c r="Y105" s="95"/>
      <c r="Z105" s="95"/>
      <c r="AA105" s="95"/>
      <c r="AB105" s="95"/>
      <c r="AC105" s="95"/>
    </row>
    <row r="106" spans="8:29" ht="15.75" x14ac:dyDescent="0.25">
      <c r="S106" s="95"/>
      <c r="T106" s="95"/>
      <c r="U106" s="95"/>
      <c r="V106" s="95"/>
      <c r="W106" s="95"/>
      <c r="X106" s="95"/>
      <c r="Y106" s="95"/>
      <c r="Z106" s="95"/>
      <c r="AA106" s="95"/>
      <c r="AB106" s="95"/>
      <c r="AC106" s="95"/>
    </row>
    <row r="107" spans="8:29" ht="15.75" x14ac:dyDescent="0.25">
      <c r="S107" s="95"/>
      <c r="T107" s="95"/>
      <c r="U107" s="95"/>
      <c r="V107" s="95"/>
      <c r="W107" s="95"/>
      <c r="X107" s="95"/>
      <c r="Y107" s="95"/>
      <c r="Z107" s="95"/>
      <c r="AA107" s="95"/>
      <c r="AB107" s="95"/>
      <c r="AC107" s="95"/>
    </row>
    <row r="108" spans="8:29" ht="15.75" x14ac:dyDescent="0.25">
      <c r="S108" s="95"/>
      <c r="T108" s="95"/>
      <c r="U108" s="95"/>
      <c r="V108" s="95"/>
      <c r="W108" s="95"/>
      <c r="X108" s="95"/>
      <c r="Y108" s="95"/>
      <c r="Z108" s="95"/>
      <c r="AA108" s="95"/>
      <c r="AB108" s="95"/>
      <c r="AC108" s="95"/>
    </row>
    <row r="109" spans="8:29" ht="15.75" x14ac:dyDescent="0.25">
      <c r="S109" s="95"/>
      <c r="T109" s="95"/>
      <c r="U109" s="95"/>
      <c r="V109" s="95"/>
      <c r="W109" s="95"/>
      <c r="X109" s="95"/>
      <c r="Y109" s="95"/>
      <c r="Z109" s="95"/>
      <c r="AA109" s="95"/>
      <c r="AB109" s="95"/>
      <c r="AC109" s="95"/>
    </row>
    <row r="110" spans="8:29" ht="15.75" x14ac:dyDescent="0.25">
      <c r="S110" s="95"/>
      <c r="T110" s="95"/>
      <c r="U110" s="95"/>
      <c r="V110" s="95"/>
      <c r="W110" s="95"/>
      <c r="X110" s="95"/>
      <c r="Y110" s="95"/>
      <c r="Z110" s="95"/>
      <c r="AA110" s="95"/>
      <c r="AB110" s="95"/>
      <c r="AC110" s="95"/>
    </row>
    <row r="111" spans="8:29" ht="15.75" x14ac:dyDescent="0.25">
      <c r="S111" s="95"/>
      <c r="T111" s="95"/>
      <c r="U111" s="95"/>
      <c r="V111" s="95"/>
      <c r="W111" s="95"/>
      <c r="X111" s="95"/>
      <c r="Y111" s="95"/>
      <c r="Z111" s="95"/>
      <c r="AA111" s="95"/>
      <c r="AB111" s="95"/>
      <c r="AC111" s="95"/>
    </row>
    <row r="112" spans="8:29" ht="15.75" x14ac:dyDescent="0.25">
      <c r="S112" s="95"/>
      <c r="T112" s="95"/>
      <c r="U112" s="95"/>
      <c r="V112" s="95"/>
      <c r="W112" s="95"/>
      <c r="X112" s="95"/>
      <c r="Y112" s="95"/>
      <c r="Z112" s="95"/>
      <c r="AA112" s="95"/>
      <c r="AB112" s="95"/>
      <c r="AC112" s="95"/>
    </row>
    <row r="113" spans="19:29" ht="15.75" x14ac:dyDescent="0.25">
      <c r="S113" s="95"/>
      <c r="T113" s="95"/>
      <c r="U113" s="95"/>
      <c r="V113" s="95"/>
      <c r="W113" s="95"/>
      <c r="X113" s="95"/>
      <c r="Y113" s="95"/>
      <c r="Z113" s="95"/>
      <c r="AA113" s="95"/>
      <c r="AB113" s="95"/>
      <c r="AC113" s="95"/>
    </row>
    <row r="114" spans="19:29" ht="15.75" x14ac:dyDescent="0.25">
      <c r="S114" s="95"/>
      <c r="T114" s="95"/>
      <c r="U114" s="95"/>
      <c r="V114" s="95"/>
      <c r="W114" s="95"/>
      <c r="X114" s="95"/>
      <c r="Y114" s="95"/>
      <c r="Z114" s="95"/>
      <c r="AA114" s="95"/>
      <c r="AB114" s="95"/>
      <c r="AC114" s="95"/>
    </row>
    <row r="115" spans="19:29" ht="15.75" x14ac:dyDescent="0.25">
      <c r="S115" s="95"/>
      <c r="T115" s="95"/>
      <c r="U115" s="95"/>
      <c r="V115" s="95"/>
      <c r="W115" s="95"/>
      <c r="X115" s="95"/>
      <c r="Y115" s="95"/>
      <c r="Z115" s="95"/>
      <c r="AA115" s="95"/>
      <c r="AB115" s="95"/>
      <c r="AC115" s="95"/>
    </row>
    <row r="116" spans="19:29" ht="15.75" x14ac:dyDescent="0.25">
      <c r="S116" s="95"/>
      <c r="T116" s="95"/>
      <c r="U116" s="95"/>
      <c r="V116" s="95"/>
      <c r="W116" s="95"/>
      <c r="X116" s="95"/>
      <c r="Y116" s="95"/>
      <c r="Z116" s="95"/>
      <c r="AA116" s="95"/>
      <c r="AB116" s="95"/>
      <c r="AC116" s="95"/>
    </row>
    <row r="117" spans="19:29" ht="15.75" x14ac:dyDescent="0.25">
      <c r="S117" s="95"/>
      <c r="T117" s="95"/>
      <c r="U117" s="95"/>
      <c r="V117" s="95"/>
      <c r="W117" s="95"/>
      <c r="X117" s="95"/>
      <c r="Y117" s="95"/>
      <c r="Z117" s="95"/>
      <c r="AA117" s="95"/>
      <c r="AB117" s="95"/>
      <c r="AC117" s="95"/>
    </row>
    <row r="118" spans="19:29" ht="15.75" x14ac:dyDescent="0.25">
      <c r="S118" s="95"/>
      <c r="T118" s="95"/>
      <c r="U118" s="95"/>
      <c r="V118" s="95"/>
      <c r="W118" s="95"/>
      <c r="X118" s="95"/>
      <c r="Y118" s="95"/>
      <c r="Z118" s="95"/>
      <c r="AA118" s="95"/>
      <c r="AB118" s="95"/>
      <c r="AC118" s="95"/>
    </row>
    <row r="119" spans="19:29" ht="15.75" x14ac:dyDescent="0.25">
      <c r="S119" s="95"/>
      <c r="T119" s="95"/>
      <c r="U119" s="95"/>
      <c r="V119" s="95"/>
      <c r="W119" s="95"/>
      <c r="X119" s="95"/>
      <c r="Y119" s="95"/>
      <c r="Z119" s="95"/>
      <c r="AA119" s="95"/>
      <c r="AB119" s="95"/>
      <c r="AC119" s="95"/>
    </row>
    <row r="120" spans="19:29" ht="15.75" x14ac:dyDescent="0.25">
      <c r="S120" s="95"/>
      <c r="T120" s="95"/>
      <c r="U120" s="95"/>
      <c r="V120" s="95"/>
      <c r="W120" s="95"/>
      <c r="X120" s="95"/>
      <c r="Y120" s="95"/>
      <c r="Z120" s="95"/>
      <c r="AA120" s="95"/>
      <c r="AB120" s="95"/>
      <c r="AC120" s="95"/>
    </row>
    <row r="121" spans="19:29" ht="15.75" x14ac:dyDescent="0.25">
      <c r="S121" s="95"/>
      <c r="T121" s="95"/>
      <c r="U121" s="95"/>
      <c r="V121" s="95"/>
      <c r="W121" s="95"/>
      <c r="X121" s="95"/>
      <c r="Y121" s="95"/>
      <c r="Z121" s="95"/>
      <c r="AA121" s="95"/>
      <c r="AB121" s="95"/>
      <c r="AC121" s="95"/>
    </row>
    <row r="122" spans="19:29" ht="15.75" x14ac:dyDescent="0.25">
      <c r="S122" s="95"/>
      <c r="T122" s="95"/>
      <c r="U122" s="95"/>
      <c r="V122" s="95"/>
      <c r="W122" s="95"/>
      <c r="X122" s="95"/>
      <c r="Y122" s="95"/>
      <c r="Z122" s="95"/>
      <c r="AA122" s="95"/>
      <c r="AB122" s="95"/>
      <c r="AC122" s="95"/>
    </row>
    <row r="123" spans="19:29" ht="15.75" x14ac:dyDescent="0.25">
      <c r="S123" s="95"/>
      <c r="T123" s="95"/>
      <c r="U123" s="95"/>
      <c r="V123" s="95"/>
      <c r="W123" s="95"/>
      <c r="X123" s="95"/>
      <c r="Y123" s="95"/>
      <c r="Z123" s="95"/>
      <c r="AA123" s="95"/>
      <c r="AB123" s="95"/>
      <c r="AC123" s="95"/>
    </row>
    <row r="124" spans="19:29" ht="15.75" x14ac:dyDescent="0.25">
      <c r="S124" s="95"/>
      <c r="T124" s="95"/>
      <c r="U124" s="95"/>
      <c r="V124" s="95"/>
      <c r="W124" s="95"/>
      <c r="X124" s="95"/>
      <c r="Y124" s="95"/>
      <c r="Z124" s="95"/>
      <c r="AA124" s="95"/>
      <c r="AB124" s="95"/>
      <c r="AC124" s="95"/>
    </row>
    <row r="125" spans="19:29" ht="15.75" x14ac:dyDescent="0.25">
      <c r="S125" s="95"/>
      <c r="T125" s="95"/>
      <c r="U125" s="95"/>
      <c r="V125" s="95"/>
      <c r="W125" s="95"/>
      <c r="X125" s="95"/>
      <c r="Y125" s="95"/>
      <c r="Z125" s="95"/>
      <c r="AA125" s="95"/>
      <c r="AB125" s="95"/>
      <c r="AC125" s="95"/>
    </row>
    <row r="126" spans="19:29" ht="15.75" x14ac:dyDescent="0.25">
      <c r="S126" s="95"/>
      <c r="T126" s="95"/>
      <c r="U126" s="95"/>
      <c r="V126" s="95"/>
      <c r="W126" s="95"/>
      <c r="X126" s="95"/>
      <c r="Y126" s="95"/>
      <c r="Z126" s="95"/>
      <c r="AA126" s="95"/>
      <c r="AB126" s="95"/>
      <c r="AC126" s="95"/>
    </row>
    <row r="127" spans="19:29" ht="15.75" x14ac:dyDescent="0.25">
      <c r="S127" s="95"/>
      <c r="T127" s="95"/>
      <c r="U127" s="95"/>
      <c r="V127" s="95"/>
      <c r="W127" s="95"/>
      <c r="X127" s="95"/>
      <c r="Y127" s="95"/>
      <c r="Z127" s="95"/>
      <c r="AA127" s="95"/>
      <c r="AB127" s="95"/>
      <c r="AC127" s="95"/>
    </row>
    <row r="128" spans="19:29" ht="15.75" x14ac:dyDescent="0.25">
      <c r="S128" s="95"/>
      <c r="T128" s="95"/>
      <c r="U128" s="95"/>
      <c r="V128" s="95"/>
      <c r="W128" s="95"/>
      <c r="X128" s="95"/>
      <c r="Y128" s="95"/>
      <c r="Z128" s="95"/>
      <c r="AA128" s="95"/>
      <c r="AB128" s="95"/>
      <c r="AC128" s="95"/>
    </row>
    <row r="129" spans="19:29" ht="15.75" x14ac:dyDescent="0.25">
      <c r="S129" s="95"/>
      <c r="T129" s="95"/>
      <c r="U129" s="95"/>
      <c r="V129" s="95"/>
      <c r="W129" s="95"/>
      <c r="X129" s="95"/>
      <c r="Y129" s="95"/>
      <c r="Z129" s="95"/>
      <c r="AA129" s="95"/>
      <c r="AB129" s="95"/>
      <c r="AC129" s="95"/>
    </row>
    <row r="130" spans="19:29" ht="15.75" x14ac:dyDescent="0.25">
      <c r="S130" s="95"/>
      <c r="T130" s="95"/>
      <c r="U130" s="95"/>
      <c r="V130" s="95"/>
      <c r="W130" s="95"/>
      <c r="X130" s="95"/>
      <c r="Y130" s="95"/>
      <c r="Z130" s="95"/>
      <c r="AA130" s="95"/>
      <c r="AB130" s="95"/>
      <c r="AC130" s="95"/>
    </row>
    <row r="131" spans="19:29" ht="15.75" x14ac:dyDescent="0.25">
      <c r="S131" s="95"/>
      <c r="T131" s="95"/>
      <c r="U131" s="95"/>
      <c r="V131" s="95"/>
      <c r="W131" s="95"/>
      <c r="X131" s="95"/>
      <c r="Y131" s="95"/>
      <c r="Z131" s="95"/>
      <c r="AA131" s="95"/>
      <c r="AB131" s="95"/>
      <c r="AC131" s="95"/>
    </row>
    <row r="132" spans="19:29" ht="15.75" x14ac:dyDescent="0.25">
      <c r="S132" s="95"/>
      <c r="T132" s="95"/>
      <c r="U132" s="95"/>
      <c r="V132" s="95"/>
      <c r="W132" s="95"/>
      <c r="X132" s="95"/>
      <c r="Y132" s="95"/>
      <c r="Z132" s="95"/>
      <c r="AA132" s="95"/>
      <c r="AB132" s="95"/>
      <c r="AC132" s="95"/>
    </row>
    <row r="133" spans="19:29" ht="15.75" x14ac:dyDescent="0.25">
      <c r="S133" s="95"/>
      <c r="T133" s="95"/>
      <c r="U133" s="95"/>
      <c r="V133" s="95"/>
      <c r="W133" s="95"/>
      <c r="X133" s="95"/>
      <c r="Y133" s="95"/>
      <c r="Z133" s="95"/>
      <c r="AA133" s="95"/>
      <c r="AB133" s="95"/>
      <c r="AC133" s="95"/>
    </row>
    <row r="134" spans="19:29" ht="15.75" x14ac:dyDescent="0.25">
      <c r="S134" s="95"/>
      <c r="T134" s="95"/>
      <c r="U134" s="95"/>
      <c r="V134" s="95"/>
      <c r="W134" s="95"/>
      <c r="X134" s="95"/>
      <c r="Y134" s="95"/>
      <c r="Z134" s="95"/>
      <c r="AA134" s="95"/>
      <c r="AB134" s="95"/>
      <c r="AC134" s="95"/>
    </row>
    <row r="135" spans="19:29" ht="15.75" x14ac:dyDescent="0.25">
      <c r="S135" s="95"/>
      <c r="T135" s="95"/>
      <c r="U135" s="95"/>
      <c r="V135" s="95"/>
      <c r="W135" s="95"/>
      <c r="X135" s="95"/>
      <c r="Y135" s="95"/>
      <c r="Z135" s="95"/>
      <c r="AA135" s="95"/>
      <c r="AB135" s="95"/>
      <c r="AC135" s="95"/>
    </row>
    <row r="136" spans="19:29" ht="15.75" x14ac:dyDescent="0.25">
      <c r="S136" s="95"/>
      <c r="T136" s="95"/>
      <c r="U136" s="95"/>
      <c r="V136" s="95"/>
      <c r="W136" s="95"/>
      <c r="X136" s="95"/>
      <c r="Y136" s="95"/>
      <c r="Z136" s="95"/>
      <c r="AA136" s="95"/>
      <c r="AB136" s="95"/>
      <c r="AC136" s="95"/>
    </row>
    <row r="137" spans="19:29" ht="15.75" x14ac:dyDescent="0.25">
      <c r="S137" s="95"/>
      <c r="T137" s="95"/>
      <c r="U137" s="95"/>
      <c r="V137" s="95"/>
      <c r="W137" s="95"/>
      <c r="X137" s="95"/>
      <c r="Y137" s="95"/>
      <c r="Z137" s="95"/>
      <c r="AA137" s="95"/>
      <c r="AB137" s="95"/>
      <c r="AC137" s="95"/>
    </row>
    <row r="138" spans="19:29" ht="15.75" x14ac:dyDescent="0.25">
      <c r="S138" s="95"/>
      <c r="T138" s="95"/>
      <c r="U138" s="95"/>
      <c r="V138" s="95"/>
      <c r="W138" s="95"/>
      <c r="X138" s="95"/>
      <c r="Y138" s="95"/>
      <c r="Z138" s="95"/>
      <c r="AA138" s="95"/>
      <c r="AB138" s="95"/>
      <c r="AC138" s="95"/>
    </row>
    <row r="139" spans="19:29" ht="15.75" x14ac:dyDescent="0.25">
      <c r="S139" s="95"/>
      <c r="T139" s="95"/>
      <c r="U139" s="95"/>
      <c r="V139" s="95"/>
      <c r="W139" s="95"/>
      <c r="X139" s="95"/>
      <c r="Y139" s="95"/>
      <c r="Z139" s="95"/>
      <c r="AA139" s="95"/>
      <c r="AB139" s="95"/>
      <c r="AC139" s="95"/>
    </row>
    <row r="140" spans="19:29" ht="15.75" x14ac:dyDescent="0.25">
      <c r="S140" s="95"/>
      <c r="T140" s="95"/>
      <c r="U140" s="95"/>
      <c r="V140" s="95"/>
      <c r="W140" s="95"/>
      <c r="X140" s="95"/>
      <c r="Y140" s="95"/>
      <c r="Z140" s="95"/>
      <c r="AA140" s="95"/>
      <c r="AB140" s="95"/>
      <c r="AC140" s="95"/>
    </row>
    <row r="141" spans="19:29" ht="15.75" x14ac:dyDescent="0.25">
      <c r="S141" s="95"/>
      <c r="T141" s="95"/>
      <c r="U141" s="95"/>
      <c r="V141" s="95"/>
      <c r="W141" s="95"/>
      <c r="X141" s="95"/>
      <c r="Y141" s="95"/>
      <c r="Z141" s="95"/>
      <c r="AA141" s="95"/>
      <c r="AB141" s="95"/>
      <c r="AC141" s="95"/>
    </row>
    <row r="142" spans="19:29" ht="15.75" x14ac:dyDescent="0.25">
      <c r="S142" s="95"/>
      <c r="T142" s="95"/>
      <c r="U142" s="95"/>
      <c r="V142" s="95"/>
      <c r="W142" s="95"/>
      <c r="X142" s="95"/>
      <c r="Y142" s="95"/>
      <c r="Z142" s="95"/>
      <c r="AA142" s="95"/>
      <c r="AB142" s="95"/>
      <c r="AC142" s="95"/>
    </row>
    <row r="143" spans="19:29" ht="15.75" x14ac:dyDescent="0.25">
      <c r="S143" s="95"/>
      <c r="T143" s="95"/>
      <c r="U143" s="95"/>
      <c r="V143" s="95"/>
      <c r="W143" s="95"/>
      <c r="X143" s="95"/>
      <c r="Y143" s="95"/>
      <c r="Z143" s="95"/>
      <c r="AA143" s="95"/>
      <c r="AB143" s="95"/>
      <c r="AC143" s="95"/>
    </row>
    <row r="144" spans="19:29" ht="15.75" x14ac:dyDescent="0.25">
      <c r="S144" s="95"/>
      <c r="T144" s="95"/>
      <c r="U144" s="95"/>
      <c r="V144" s="95"/>
      <c r="W144" s="95"/>
      <c r="X144" s="95"/>
      <c r="Y144" s="95"/>
      <c r="Z144" s="95"/>
      <c r="AA144" s="95"/>
      <c r="AB144" s="95"/>
      <c r="AC144" s="95"/>
    </row>
    <row r="145" spans="19:29" ht="15.75" x14ac:dyDescent="0.25">
      <c r="S145" s="95"/>
      <c r="T145" s="95"/>
      <c r="U145" s="95"/>
      <c r="V145" s="95"/>
      <c r="W145" s="95"/>
      <c r="X145" s="95"/>
      <c r="Y145" s="95"/>
      <c r="Z145" s="95"/>
      <c r="AA145" s="95"/>
      <c r="AB145" s="95"/>
      <c r="AC145" s="95"/>
    </row>
    <row r="146" spans="19:29" ht="15.75" x14ac:dyDescent="0.25">
      <c r="S146" s="95"/>
      <c r="T146" s="95"/>
      <c r="U146" s="95"/>
      <c r="V146" s="95"/>
      <c r="W146" s="95"/>
      <c r="X146" s="95"/>
      <c r="Y146" s="95"/>
      <c r="Z146" s="95"/>
      <c r="AA146" s="95"/>
      <c r="AB146" s="95"/>
      <c r="AC146" s="95"/>
    </row>
    <row r="147" spans="19:29" ht="15.75" x14ac:dyDescent="0.25">
      <c r="S147" s="95"/>
      <c r="T147" s="95"/>
      <c r="U147" s="95"/>
      <c r="V147" s="95"/>
      <c r="W147" s="95"/>
      <c r="X147" s="95"/>
      <c r="Y147" s="95"/>
      <c r="Z147" s="95"/>
      <c r="AA147" s="95"/>
      <c r="AB147" s="95"/>
      <c r="AC147" s="95"/>
    </row>
    <row r="148" spans="19:29" ht="15.75" x14ac:dyDescent="0.25">
      <c r="S148" s="95"/>
      <c r="T148" s="95"/>
      <c r="U148" s="95"/>
      <c r="V148" s="95"/>
      <c r="W148" s="95"/>
      <c r="X148" s="95"/>
      <c r="Y148" s="95"/>
      <c r="Z148" s="95"/>
      <c r="AA148" s="95"/>
      <c r="AB148" s="95"/>
      <c r="AC148" s="95"/>
    </row>
    <row r="149" spans="19:29" ht="15.75" x14ac:dyDescent="0.25">
      <c r="S149" s="95"/>
      <c r="T149" s="95"/>
      <c r="U149" s="95"/>
      <c r="V149" s="95"/>
      <c r="W149" s="95"/>
      <c r="X149" s="95"/>
      <c r="Y149" s="95"/>
      <c r="Z149" s="95"/>
      <c r="AA149" s="95"/>
      <c r="AB149" s="95"/>
      <c r="AC149" s="95"/>
    </row>
    <row r="150" spans="19:29" ht="15.75" x14ac:dyDescent="0.25">
      <c r="S150" s="95"/>
      <c r="T150" s="95"/>
      <c r="U150" s="95"/>
      <c r="V150" s="95"/>
      <c r="W150" s="95"/>
      <c r="X150" s="95"/>
      <c r="Y150" s="95"/>
      <c r="Z150" s="95"/>
      <c r="AA150" s="95"/>
      <c r="AB150" s="95"/>
      <c r="AC150" s="95"/>
    </row>
    <row r="151" spans="19:29" ht="15.75" x14ac:dyDescent="0.25">
      <c r="S151" s="95"/>
      <c r="T151" s="95"/>
      <c r="U151" s="95"/>
      <c r="V151" s="95"/>
      <c r="W151" s="95"/>
      <c r="X151" s="95"/>
      <c r="Y151" s="95"/>
      <c r="Z151" s="95"/>
      <c r="AA151" s="95"/>
      <c r="AB151" s="95"/>
      <c r="AC151" s="95"/>
    </row>
    <row r="152" spans="19:29" ht="15.75" x14ac:dyDescent="0.25">
      <c r="S152" s="95"/>
      <c r="T152" s="95"/>
      <c r="U152" s="95"/>
      <c r="V152" s="95"/>
      <c r="W152" s="95"/>
      <c r="X152" s="95"/>
      <c r="Y152" s="95"/>
      <c r="Z152" s="95"/>
      <c r="AA152" s="95"/>
      <c r="AB152" s="95"/>
      <c r="AC152" s="95"/>
    </row>
    <row r="153" spans="19:29" ht="15.75" x14ac:dyDescent="0.25">
      <c r="S153" s="95"/>
      <c r="T153" s="95"/>
      <c r="U153" s="95"/>
      <c r="V153" s="95"/>
      <c r="W153" s="95"/>
      <c r="X153" s="95"/>
      <c r="Y153" s="95"/>
      <c r="Z153" s="95"/>
      <c r="AA153" s="95"/>
      <c r="AB153" s="95"/>
      <c r="AC153" s="95"/>
    </row>
    <row r="154" spans="19:29" ht="15.75" x14ac:dyDescent="0.25">
      <c r="S154" s="95"/>
      <c r="T154" s="95"/>
      <c r="U154" s="95"/>
      <c r="V154" s="95"/>
      <c r="W154" s="95"/>
      <c r="X154" s="95"/>
      <c r="Y154" s="95"/>
      <c r="Z154" s="95"/>
      <c r="AA154" s="95"/>
      <c r="AB154" s="95"/>
      <c r="AC154" s="95"/>
    </row>
    <row r="155" spans="19:29" ht="15.75" x14ac:dyDescent="0.25">
      <c r="S155" s="95"/>
      <c r="T155" s="95"/>
      <c r="U155" s="95"/>
      <c r="V155" s="95"/>
      <c r="W155" s="95"/>
      <c r="X155" s="95"/>
      <c r="Y155" s="95"/>
      <c r="Z155" s="95"/>
      <c r="AA155" s="95"/>
      <c r="AB155" s="95"/>
      <c r="AC155" s="95"/>
    </row>
    <row r="156" spans="19:29" ht="15.75" x14ac:dyDescent="0.25">
      <c r="S156" s="95"/>
      <c r="T156" s="95"/>
      <c r="U156" s="95"/>
      <c r="V156" s="95"/>
      <c r="W156" s="95"/>
      <c r="X156" s="95"/>
      <c r="Y156" s="95"/>
      <c r="Z156" s="95"/>
      <c r="AA156" s="95"/>
      <c r="AB156" s="95"/>
      <c r="AC156" s="95"/>
    </row>
    <row r="157" spans="19:29" ht="15.75" x14ac:dyDescent="0.25">
      <c r="S157" s="95"/>
      <c r="T157" s="95"/>
      <c r="U157" s="95"/>
      <c r="V157" s="95"/>
      <c r="W157" s="95"/>
      <c r="X157" s="95"/>
      <c r="Y157" s="95"/>
      <c r="Z157" s="95"/>
      <c r="AA157" s="95"/>
      <c r="AB157" s="95"/>
      <c r="AC157" s="95"/>
    </row>
    <row r="158" spans="19:29" ht="15.75" x14ac:dyDescent="0.25">
      <c r="S158" s="95"/>
      <c r="T158" s="95"/>
      <c r="U158" s="95"/>
      <c r="V158" s="95"/>
      <c r="W158" s="95"/>
      <c r="X158" s="95"/>
      <c r="Y158" s="95"/>
      <c r="Z158" s="95"/>
      <c r="AA158" s="95"/>
      <c r="AB158" s="95"/>
      <c r="AC158" s="95"/>
    </row>
    <row r="159" spans="19:29" ht="15.75" x14ac:dyDescent="0.25">
      <c r="S159" s="95"/>
      <c r="T159" s="95"/>
      <c r="U159" s="95"/>
      <c r="V159" s="95"/>
      <c r="W159" s="95"/>
      <c r="X159" s="95"/>
      <c r="Y159" s="95"/>
      <c r="Z159" s="95"/>
      <c r="AA159" s="95"/>
      <c r="AB159" s="95"/>
      <c r="AC159" s="95"/>
    </row>
    <row r="160" spans="19:29" ht="15.75" x14ac:dyDescent="0.25">
      <c r="S160" s="95"/>
      <c r="T160" s="95"/>
      <c r="U160" s="95"/>
      <c r="V160" s="95"/>
      <c r="W160" s="95"/>
      <c r="X160" s="95"/>
      <c r="Y160" s="95"/>
      <c r="Z160" s="95"/>
      <c r="AA160" s="95"/>
      <c r="AB160" s="95"/>
      <c r="AC160" s="95"/>
    </row>
    <row r="161" spans="19:29" ht="15.75" x14ac:dyDescent="0.25">
      <c r="S161" s="95"/>
      <c r="T161" s="95"/>
      <c r="U161" s="95"/>
      <c r="V161" s="95"/>
      <c r="W161" s="95"/>
      <c r="X161" s="95"/>
      <c r="Y161" s="95"/>
      <c r="Z161" s="95"/>
      <c r="AA161" s="95"/>
      <c r="AB161" s="95"/>
      <c r="AC161" s="95"/>
    </row>
    <row r="162" spans="19:29" ht="15.75" x14ac:dyDescent="0.25">
      <c r="S162" s="95"/>
      <c r="T162" s="95"/>
      <c r="U162" s="95"/>
      <c r="V162" s="95"/>
      <c r="W162" s="95"/>
      <c r="X162" s="95"/>
      <c r="Y162" s="95"/>
      <c r="Z162" s="95"/>
      <c r="AA162" s="95"/>
      <c r="AB162" s="95"/>
      <c r="AC162" s="95"/>
    </row>
    <row r="163" spans="19:29" ht="15.75" x14ac:dyDescent="0.25">
      <c r="S163" s="95"/>
      <c r="T163" s="95"/>
      <c r="U163" s="95"/>
      <c r="V163" s="95"/>
      <c r="W163" s="95"/>
      <c r="X163" s="95"/>
      <c r="Y163" s="95"/>
      <c r="Z163" s="95"/>
      <c r="AA163" s="95"/>
      <c r="AB163" s="95"/>
      <c r="AC163" s="95"/>
    </row>
    <row r="164" spans="19:29" ht="15.75" x14ac:dyDescent="0.25">
      <c r="S164" s="95"/>
      <c r="T164" s="95"/>
      <c r="U164" s="95"/>
      <c r="V164" s="95"/>
      <c r="W164" s="95"/>
      <c r="X164" s="95"/>
      <c r="Y164" s="95"/>
      <c r="Z164" s="95"/>
      <c r="AA164" s="95"/>
      <c r="AB164" s="95"/>
      <c r="AC164" s="95"/>
    </row>
    <row r="165" spans="19:29" ht="15.75" x14ac:dyDescent="0.25">
      <c r="S165" s="95"/>
      <c r="T165" s="95"/>
      <c r="U165" s="95"/>
      <c r="V165" s="95"/>
      <c r="W165" s="95"/>
      <c r="X165" s="95"/>
      <c r="Y165" s="95"/>
      <c r="Z165" s="95"/>
      <c r="AA165" s="95"/>
      <c r="AB165" s="95"/>
      <c r="AC165" s="95"/>
    </row>
    <row r="166" spans="19:29" ht="15.75" x14ac:dyDescent="0.25">
      <c r="S166" s="95"/>
      <c r="T166" s="95"/>
      <c r="U166" s="95"/>
      <c r="V166" s="95"/>
      <c r="W166" s="95"/>
      <c r="X166" s="95"/>
      <c r="Y166" s="95"/>
      <c r="Z166" s="95"/>
      <c r="AA166" s="95"/>
      <c r="AB166" s="95"/>
      <c r="AC166" s="95"/>
    </row>
    <row r="167" spans="19:29" ht="15.75" x14ac:dyDescent="0.25">
      <c r="S167" s="95"/>
      <c r="T167" s="95"/>
      <c r="U167" s="95"/>
      <c r="V167" s="95"/>
      <c r="W167" s="95"/>
      <c r="X167" s="95"/>
      <c r="Y167" s="95"/>
      <c r="Z167" s="95"/>
      <c r="AA167" s="95"/>
      <c r="AB167" s="95"/>
      <c r="AC167" s="95"/>
    </row>
    <row r="168" spans="19:29" ht="15.75" x14ac:dyDescent="0.25">
      <c r="S168" s="95"/>
      <c r="T168" s="95"/>
      <c r="U168" s="95"/>
      <c r="V168" s="95"/>
      <c r="W168" s="95"/>
      <c r="X168" s="95"/>
      <c r="Y168" s="95"/>
      <c r="Z168" s="95"/>
      <c r="AA168" s="95"/>
      <c r="AB168" s="95"/>
      <c r="AC168" s="95"/>
    </row>
    <row r="169" spans="19:29" ht="15.75" x14ac:dyDescent="0.25">
      <c r="S169" s="95"/>
      <c r="T169" s="95"/>
      <c r="U169" s="95"/>
      <c r="V169" s="95"/>
      <c r="W169" s="95"/>
      <c r="X169" s="95"/>
      <c r="Y169" s="95"/>
      <c r="Z169" s="95"/>
      <c r="AA169" s="95"/>
      <c r="AB169" s="95"/>
      <c r="AC169" s="95"/>
    </row>
    <row r="170" spans="19:29" ht="15.75" x14ac:dyDescent="0.25">
      <c r="S170" s="95"/>
      <c r="T170" s="95"/>
      <c r="U170" s="95"/>
      <c r="V170" s="95"/>
      <c r="W170" s="95"/>
      <c r="X170" s="95"/>
      <c r="Y170" s="95"/>
      <c r="Z170" s="95"/>
      <c r="AA170" s="95"/>
      <c r="AB170" s="95"/>
      <c r="AC170" s="95"/>
    </row>
    <row r="171" spans="19:29" ht="15.75" x14ac:dyDescent="0.25">
      <c r="S171" s="95"/>
      <c r="T171" s="95"/>
      <c r="U171" s="95"/>
      <c r="V171" s="95"/>
      <c r="W171" s="95"/>
      <c r="X171" s="95"/>
      <c r="Y171" s="95"/>
      <c r="Z171" s="95"/>
      <c r="AA171" s="95"/>
      <c r="AB171" s="95"/>
      <c r="AC171" s="95"/>
    </row>
    <row r="172" spans="19:29" ht="15.75" x14ac:dyDescent="0.25">
      <c r="S172" s="95"/>
      <c r="T172" s="95"/>
      <c r="U172" s="95"/>
      <c r="V172" s="95"/>
      <c r="W172" s="95"/>
      <c r="X172" s="95"/>
      <c r="Y172" s="95"/>
      <c r="Z172" s="95"/>
      <c r="AA172" s="95"/>
      <c r="AB172" s="95"/>
      <c r="AC172" s="95"/>
    </row>
    <row r="173" spans="19:29" ht="15.75" x14ac:dyDescent="0.25">
      <c r="S173" s="95"/>
      <c r="T173" s="95"/>
      <c r="U173" s="95"/>
      <c r="V173" s="95"/>
      <c r="W173" s="95"/>
      <c r="X173" s="95"/>
      <c r="Y173" s="95"/>
      <c r="Z173" s="95"/>
      <c r="AA173" s="95"/>
      <c r="AB173" s="95"/>
      <c r="AC173" s="95"/>
    </row>
    <row r="174" spans="19:29" ht="15.75" x14ac:dyDescent="0.25">
      <c r="S174" s="95"/>
      <c r="T174" s="95"/>
      <c r="U174" s="95"/>
      <c r="V174" s="95"/>
      <c r="W174" s="95"/>
      <c r="X174" s="95"/>
      <c r="Y174" s="95"/>
      <c r="Z174" s="95"/>
      <c r="AA174" s="95"/>
      <c r="AB174" s="95"/>
      <c r="AC174" s="95"/>
    </row>
    <row r="175" spans="19:29" ht="15.75" x14ac:dyDescent="0.25">
      <c r="S175" s="95"/>
      <c r="T175" s="95"/>
      <c r="U175" s="95"/>
      <c r="V175" s="95"/>
      <c r="W175" s="95"/>
      <c r="X175" s="95"/>
      <c r="Y175" s="95"/>
      <c r="Z175" s="95"/>
      <c r="AA175" s="95"/>
      <c r="AB175" s="95"/>
      <c r="AC175" s="95"/>
    </row>
    <row r="176" spans="19:29" ht="15.75" x14ac:dyDescent="0.25">
      <c r="S176" s="95"/>
      <c r="T176" s="95"/>
      <c r="U176" s="95"/>
      <c r="V176" s="95"/>
      <c r="W176" s="95"/>
      <c r="X176" s="95"/>
      <c r="Y176" s="95"/>
      <c r="Z176" s="95"/>
      <c r="AA176" s="95"/>
      <c r="AB176" s="95"/>
      <c r="AC176" s="95"/>
    </row>
    <row r="177" spans="19:29" ht="15.75" x14ac:dyDescent="0.25">
      <c r="S177" s="95"/>
      <c r="T177" s="95"/>
      <c r="U177" s="95"/>
      <c r="V177" s="95"/>
      <c r="W177" s="95"/>
      <c r="X177" s="95"/>
      <c r="Y177" s="95"/>
      <c r="Z177" s="95"/>
      <c r="AA177" s="95"/>
      <c r="AB177" s="95"/>
      <c r="AC177" s="95"/>
    </row>
    <row r="178" spans="19:29" ht="15.75" x14ac:dyDescent="0.25">
      <c r="S178" s="95"/>
      <c r="T178" s="95"/>
      <c r="U178" s="95"/>
      <c r="V178" s="95"/>
      <c r="W178" s="95"/>
      <c r="X178" s="95"/>
      <c r="Y178" s="95"/>
      <c r="Z178" s="95"/>
      <c r="AA178" s="95"/>
      <c r="AB178" s="95"/>
      <c r="AC178" s="95"/>
    </row>
    <row r="179" spans="19:29" ht="15.75" x14ac:dyDescent="0.25">
      <c r="S179" s="95"/>
      <c r="T179" s="95"/>
      <c r="U179" s="95"/>
      <c r="V179" s="95"/>
      <c r="W179" s="95"/>
      <c r="X179" s="95"/>
      <c r="Y179" s="95"/>
      <c r="Z179" s="95"/>
      <c r="AA179" s="95"/>
      <c r="AB179" s="95"/>
      <c r="AC179" s="95"/>
    </row>
    <row r="180" spans="19:29" ht="15.75" x14ac:dyDescent="0.25">
      <c r="S180" s="95"/>
      <c r="T180" s="95"/>
      <c r="U180" s="95"/>
      <c r="V180" s="95"/>
      <c r="W180" s="95"/>
      <c r="X180" s="95"/>
      <c r="Y180" s="95"/>
      <c r="Z180" s="95"/>
      <c r="AA180" s="95"/>
      <c r="AB180" s="95"/>
      <c r="AC180" s="95"/>
    </row>
    <row r="181" spans="19:29" ht="15.75" x14ac:dyDescent="0.25">
      <c r="S181" s="95"/>
      <c r="T181" s="95"/>
      <c r="U181" s="95"/>
      <c r="V181" s="95"/>
      <c r="W181" s="95"/>
      <c r="X181" s="95"/>
      <c r="Y181" s="95"/>
      <c r="Z181" s="95"/>
      <c r="AA181" s="95"/>
      <c r="AB181" s="95"/>
      <c r="AC181" s="95"/>
    </row>
    <row r="182" spans="19:29" ht="15.75" x14ac:dyDescent="0.25">
      <c r="S182" s="95"/>
      <c r="T182" s="95"/>
      <c r="U182" s="95"/>
      <c r="V182" s="95"/>
      <c r="W182" s="95"/>
      <c r="X182" s="95"/>
      <c r="Y182" s="95"/>
      <c r="Z182" s="95"/>
      <c r="AA182" s="95"/>
      <c r="AB182" s="95"/>
      <c r="AC182" s="95"/>
    </row>
    <row r="183" spans="19:29" ht="15.75" x14ac:dyDescent="0.25">
      <c r="S183" s="95"/>
      <c r="T183" s="95"/>
      <c r="U183" s="95"/>
      <c r="V183" s="95"/>
      <c r="W183" s="95"/>
      <c r="X183" s="95"/>
      <c r="Y183" s="95"/>
      <c r="Z183" s="95"/>
      <c r="AA183" s="95"/>
      <c r="AB183" s="95"/>
      <c r="AC183" s="95"/>
    </row>
    <row r="184" spans="19:29" ht="15.75" x14ac:dyDescent="0.25">
      <c r="S184" s="95"/>
      <c r="T184" s="95"/>
      <c r="U184" s="95"/>
      <c r="V184" s="95"/>
      <c r="W184" s="95"/>
      <c r="X184" s="95"/>
      <c r="Y184" s="95"/>
      <c r="Z184" s="95"/>
      <c r="AA184" s="95"/>
      <c r="AB184" s="95"/>
      <c r="AC184" s="95"/>
    </row>
    <row r="185" spans="19:29" ht="15.75" x14ac:dyDescent="0.25">
      <c r="S185" s="95"/>
      <c r="T185" s="95"/>
      <c r="U185" s="95"/>
      <c r="V185" s="95"/>
      <c r="W185" s="95"/>
      <c r="X185" s="95"/>
      <c r="Y185" s="95"/>
      <c r="Z185" s="95"/>
      <c r="AA185" s="95"/>
      <c r="AB185" s="95"/>
      <c r="AC185" s="95"/>
    </row>
    <row r="186" spans="19:29" ht="15.75" x14ac:dyDescent="0.25">
      <c r="S186" s="95"/>
      <c r="T186" s="95"/>
      <c r="U186" s="95"/>
      <c r="V186" s="95"/>
      <c r="W186" s="95"/>
      <c r="X186" s="95"/>
      <c r="Y186" s="95"/>
      <c r="Z186" s="95"/>
      <c r="AA186" s="95"/>
      <c r="AB186" s="95"/>
      <c r="AC186" s="95"/>
    </row>
    <row r="187" spans="19:29" ht="15.75" x14ac:dyDescent="0.25">
      <c r="S187" s="95"/>
      <c r="T187" s="95"/>
      <c r="U187" s="95"/>
      <c r="V187" s="95"/>
      <c r="W187" s="95"/>
      <c r="X187" s="95"/>
      <c r="Y187" s="95"/>
      <c r="Z187" s="95"/>
      <c r="AA187" s="95"/>
      <c r="AB187" s="95"/>
      <c r="AC187" s="95"/>
    </row>
    <row r="188" spans="19:29" ht="15.75" x14ac:dyDescent="0.25">
      <c r="S188" s="95"/>
      <c r="T188" s="95"/>
      <c r="U188" s="95"/>
      <c r="V188" s="95"/>
      <c r="W188" s="95"/>
      <c r="X188" s="95"/>
      <c r="Y188" s="95"/>
      <c r="Z188" s="95"/>
      <c r="AA188" s="95"/>
      <c r="AB188" s="95"/>
      <c r="AC188" s="95"/>
    </row>
    <row r="189" spans="19:29" ht="15.75" x14ac:dyDescent="0.25">
      <c r="S189" s="95"/>
      <c r="T189" s="95"/>
      <c r="U189" s="95"/>
      <c r="V189" s="95"/>
      <c r="W189" s="95"/>
      <c r="X189" s="95"/>
      <c r="Y189" s="95"/>
      <c r="Z189" s="95"/>
      <c r="AA189" s="95"/>
      <c r="AB189" s="95"/>
      <c r="AC189" s="95"/>
    </row>
    <row r="190" spans="19:29" ht="15.75" x14ac:dyDescent="0.25">
      <c r="S190" s="95"/>
      <c r="T190" s="95"/>
      <c r="U190" s="95"/>
      <c r="V190" s="95"/>
      <c r="W190" s="95"/>
      <c r="X190" s="95"/>
      <c r="Y190" s="95"/>
      <c r="Z190" s="95"/>
      <c r="AA190" s="95"/>
      <c r="AB190" s="95"/>
      <c r="AC190" s="95"/>
    </row>
    <row r="191" spans="19:29" ht="15.75" x14ac:dyDescent="0.25">
      <c r="S191" s="95"/>
      <c r="T191" s="95"/>
      <c r="U191" s="95"/>
      <c r="V191" s="95"/>
      <c r="W191" s="95"/>
      <c r="X191" s="95"/>
      <c r="Y191" s="95"/>
      <c r="Z191" s="95"/>
      <c r="AA191" s="95"/>
      <c r="AB191" s="95"/>
      <c r="AC191" s="95"/>
    </row>
    <row r="192" spans="19:29" ht="15.75" x14ac:dyDescent="0.25">
      <c r="S192" s="95"/>
      <c r="T192" s="95"/>
      <c r="U192" s="95"/>
      <c r="V192" s="95"/>
      <c r="W192" s="95"/>
      <c r="X192" s="95"/>
      <c r="Y192" s="95"/>
      <c r="Z192" s="95"/>
      <c r="AA192" s="95"/>
      <c r="AB192" s="95"/>
      <c r="AC192" s="95"/>
    </row>
    <row r="193" spans="19:29" ht="15.75" x14ac:dyDescent="0.25">
      <c r="S193" s="95"/>
      <c r="T193" s="95"/>
      <c r="U193" s="95"/>
      <c r="V193" s="95"/>
      <c r="W193" s="95"/>
      <c r="X193" s="95"/>
      <c r="Y193" s="95"/>
      <c r="Z193" s="95"/>
      <c r="AA193" s="95"/>
      <c r="AB193" s="95"/>
      <c r="AC193" s="95"/>
    </row>
    <row r="194" spans="19:29" ht="15.75" x14ac:dyDescent="0.25">
      <c r="S194" s="95"/>
      <c r="T194" s="95"/>
      <c r="U194" s="95"/>
      <c r="V194" s="95"/>
      <c r="W194" s="95"/>
      <c r="X194" s="95"/>
      <c r="Y194" s="95"/>
      <c r="Z194" s="95"/>
      <c r="AA194" s="95"/>
      <c r="AB194" s="95"/>
      <c r="AC194" s="95"/>
    </row>
    <row r="195" spans="19:29" ht="15.75" x14ac:dyDescent="0.25">
      <c r="S195" s="95"/>
      <c r="T195" s="95"/>
      <c r="U195" s="95"/>
      <c r="V195" s="95"/>
      <c r="W195" s="95"/>
      <c r="X195" s="95"/>
      <c r="Y195" s="95"/>
      <c r="Z195" s="95"/>
      <c r="AA195" s="95"/>
      <c r="AB195" s="95"/>
      <c r="AC195" s="95"/>
    </row>
    <row r="196" spans="19:29" ht="15.75" x14ac:dyDescent="0.25">
      <c r="S196" s="95"/>
      <c r="T196" s="95"/>
      <c r="U196" s="95"/>
      <c r="V196" s="95"/>
      <c r="W196" s="95"/>
      <c r="X196" s="95"/>
      <c r="Y196" s="95"/>
      <c r="Z196" s="95"/>
      <c r="AA196" s="95"/>
      <c r="AB196" s="95"/>
      <c r="AC196" s="95"/>
    </row>
    <row r="197" spans="19:29" ht="15.75" x14ac:dyDescent="0.25">
      <c r="S197" s="95"/>
      <c r="T197" s="95"/>
      <c r="U197" s="95"/>
      <c r="V197" s="95"/>
      <c r="W197" s="95"/>
      <c r="X197" s="95"/>
      <c r="Y197" s="95"/>
      <c r="Z197" s="95"/>
      <c r="AA197" s="95"/>
      <c r="AB197" s="95"/>
      <c r="AC197" s="95"/>
    </row>
    <row r="198" spans="19:29" ht="15.75" x14ac:dyDescent="0.25">
      <c r="S198" s="95"/>
      <c r="T198" s="95"/>
      <c r="U198" s="95"/>
      <c r="V198" s="95"/>
      <c r="W198" s="95"/>
      <c r="X198" s="95"/>
      <c r="Y198" s="95"/>
      <c r="Z198" s="95"/>
      <c r="AA198" s="95"/>
      <c r="AB198" s="95"/>
      <c r="AC198" s="95"/>
    </row>
    <row r="199" spans="19:29" ht="15.75" x14ac:dyDescent="0.25">
      <c r="S199" s="95"/>
      <c r="T199" s="95"/>
      <c r="U199" s="95"/>
      <c r="V199" s="95"/>
      <c r="W199" s="95"/>
      <c r="X199" s="95"/>
      <c r="Y199" s="95"/>
      <c r="Z199" s="95"/>
      <c r="AA199" s="95"/>
      <c r="AB199" s="95"/>
      <c r="AC199" s="95"/>
    </row>
    <row r="200" spans="19:29" ht="15.75" x14ac:dyDescent="0.25">
      <c r="S200" s="95"/>
      <c r="T200" s="95"/>
      <c r="U200" s="95"/>
      <c r="V200" s="95"/>
      <c r="W200" s="95"/>
      <c r="X200" s="95"/>
      <c r="Y200" s="95"/>
      <c r="Z200" s="95"/>
      <c r="AA200" s="95"/>
      <c r="AB200" s="95"/>
      <c r="AC200" s="95"/>
    </row>
    <row r="201" spans="19:29" ht="15.75" x14ac:dyDescent="0.25">
      <c r="S201" s="95"/>
      <c r="T201" s="95"/>
      <c r="U201" s="95"/>
      <c r="V201" s="95"/>
      <c r="W201" s="95"/>
      <c r="X201" s="95"/>
      <c r="Y201" s="95"/>
      <c r="Z201" s="95"/>
      <c r="AA201" s="95"/>
      <c r="AB201" s="95"/>
      <c r="AC201" s="95"/>
    </row>
    <row r="202" spans="19:29" ht="15.75" x14ac:dyDescent="0.25">
      <c r="S202" s="95"/>
      <c r="T202" s="95"/>
      <c r="U202" s="95"/>
      <c r="V202" s="95"/>
      <c r="W202" s="95"/>
      <c r="X202" s="95"/>
      <c r="Y202" s="95"/>
      <c r="Z202" s="95"/>
      <c r="AA202" s="95"/>
      <c r="AB202" s="95"/>
      <c r="AC202" s="95"/>
    </row>
    <row r="203" spans="19:29" ht="15.75" x14ac:dyDescent="0.25">
      <c r="S203" s="95"/>
      <c r="T203" s="95"/>
      <c r="U203" s="95"/>
      <c r="V203" s="95"/>
      <c r="W203" s="95"/>
      <c r="X203" s="95"/>
      <c r="Y203" s="95"/>
      <c r="Z203" s="95"/>
      <c r="AA203" s="95"/>
      <c r="AB203" s="95"/>
      <c r="AC203" s="95"/>
    </row>
    <row r="204" spans="19:29" ht="15.75" x14ac:dyDescent="0.25">
      <c r="S204" s="95"/>
      <c r="T204" s="95"/>
      <c r="U204" s="95"/>
      <c r="V204" s="95"/>
      <c r="W204" s="95"/>
      <c r="X204" s="95"/>
      <c r="Y204" s="95"/>
      <c r="Z204" s="95"/>
      <c r="AA204" s="95"/>
      <c r="AB204" s="95"/>
      <c r="AC204" s="95"/>
    </row>
    <row r="205" spans="19:29" ht="15.75" x14ac:dyDescent="0.25">
      <c r="S205" s="95"/>
      <c r="T205" s="95"/>
      <c r="U205" s="95"/>
      <c r="V205" s="95"/>
      <c r="W205" s="95"/>
      <c r="X205" s="95"/>
      <c r="Y205" s="95"/>
      <c r="Z205" s="95"/>
      <c r="AA205" s="95"/>
      <c r="AB205" s="95"/>
      <c r="AC205" s="95"/>
    </row>
    <row r="206" spans="19:29" ht="15.75" x14ac:dyDescent="0.25">
      <c r="S206" s="95"/>
      <c r="T206" s="95"/>
      <c r="U206" s="95"/>
      <c r="V206" s="95"/>
      <c r="W206" s="95"/>
      <c r="X206" s="95"/>
      <c r="Y206" s="95"/>
      <c r="Z206" s="95"/>
      <c r="AA206" s="95"/>
      <c r="AB206" s="95"/>
      <c r="AC206" s="95"/>
    </row>
    <row r="207" spans="19:29" ht="15.75" x14ac:dyDescent="0.25">
      <c r="S207" s="95"/>
      <c r="T207" s="95"/>
      <c r="U207" s="95"/>
      <c r="V207" s="95"/>
      <c r="W207" s="95"/>
      <c r="X207" s="95"/>
      <c r="Y207" s="95"/>
      <c r="Z207" s="95"/>
      <c r="AA207" s="95"/>
      <c r="AB207" s="95"/>
      <c r="AC207" s="95"/>
    </row>
    <row r="208" spans="19:29" ht="15.75" x14ac:dyDescent="0.25">
      <c r="S208" s="95"/>
      <c r="T208" s="95"/>
      <c r="U208" s="95"/>
      <c r="V208" s="95"/>
      <c r="W208" s="95"/>
      <c r="X208" s="95"/>
      <c r="Y208" s="95"/>
      <c r="Z208" s="95"/>
      <c r="AA208" s="95"/>
      <c r="AB208" s="95"/>
      <c r="AC208" s="95"/>
    </row>
    <row r="209" spans="19:29" ht="15.75" x14ac:dyDescent="0.25">
      <c r="S209" s="95"/>
      <c r="T209" s="95"/>
      <c r="U209" s="95"/>
      <c r="V209" s="95"/>
      <c r="W209" s="95"/>
      <c r="X209" s="95"/>
      <c r="Y209" s="95"/>
      <c r="Z209" s="95"/>
      <c r="AA209" s="95"/>
      <c r="AB209" s="95"/>
      <c r="AC209" s="95"/>
    </row>
    <row r="210" spans="19:29" ht="15.75" x14ac:dyDescent="0.25">
      <c r="S210" s="95"/>
      <c r="T210" s="95"/>
      <c r="U210" s="95"/>
      <c r="V210" s="95"/>
      <c r="W210" s="95"/>
      <c r="X210" s="95"/>
      <c r="Y210" s="95"/>
      <c r="Z210" s="95"/>
      <c r="AA210" s="95"/>
      <c r="AB210" s="95"/>
      <c r="AC210" s="95"/>
    </row>
    <row r="211" spans="19:29" ht="15.75" x14ac:dyDescent="0.25">
      <c r="S211" s="95"/>
      <c r="T211" s="95"/>
      <c r="U211" s="95"/>
      <c r="V211" s="95"/>
      <c r="W211" s="95"/>
      <c r="X211" s="95"/>
      <c r="Y211" s="95"/>
      <c r="Z211" s="95"/>
      <c r="AA211" s="95"/>
      <c r="AB211" s="95"/>
      <c r="AC211" s="95"/>
    </row>
    <row r="212" spans="19:29" ht="15.75" x14ac:dyDescent="0.25">
      <c r="S212" s="95"/>
      <c r="T212" s="95"/>
      <c r="U212" s="95"/>
      <c r="V212" s="95"/>
      <c r="W212" s="95"/>
      <c r="X212" s="95"/>
      <c r="Y212" s="95"/>
      <c r="Z212" s="95"/>
      <c r="AA212" s="95"/>
      <c r="AB212" s="95"/>
      <c r="AC212" s="95"/>
    </row>
    <row r="213" spans="19:29" ht="15.75" x14ac:dyDescent="0.25">
      <c r="S213" s="95"/>
      <c r="T213" s="95"/>
      <c r="U213" s="95"/>
      <c r="V213" s="95"/>
      <c r="W213" s="95"/>
      <c r="X213" s="95"/>
      <c r="Y213" s="95"/>
      <c r="Z213" s="95"/>
      <c r="AA213" s="95"/>
      <c r="AB213" s="95"/>
      <c r="AC213" s="95"/>
    </row>
    <row r="214" spans="19:29" ht="15.75" x14ac:dyDescent="0.25">
      <c r="S214" s="95"/>
      <c r="T214" s="95"/>
      <c r="U214" s="95"/>
      <c r="V214" s="95"/>
      <c r="W214" s="95"/>
      <c r="X214" s="95"/>
      <c r="Y214" s="95"/>
      <c r="Z214" s="95"/>
      <c r="AA214" s="95"/>
      <c r="AB214" s="95"/>
      <c r="AC214" s="95"/>
    </row>
    <row r="215" spans="19:29" ht="15.75" x14ac:dyDescent="0.25">
      <c r="S215" s="95"/>
      <c r="T215" s="95"/>
      <c r="U215" s="95"/>
      <c r="V215" s="95"/>
      <c r="W215" s="95"/>
      <c r="X215" s="95"/>
      <c r="Y215" s="95"/>
      <c r="Z215" s="95"/>
      <c r="AA215" s="95"/>
      <c r="AB215" s="95"/>
      <c r="AC215" s="95"/>
    </row>
    <row r="216" spans="19:29" ht="15.75" x14ac:dyDescent="0.25">
      <c r="S216" s="95"/>
      <c r="T216" s="95"/>
      <c r="U216" s="95"/>
      <c r="V216" s="95"/>
      <c r="W216" s="95"/>
      <c r="X216" s="95"/>
      <c r="Y216" s="95"/>
      <c r="Z216" s="95"/>
      <c r="AA216" s="95"/>
      <c r="AB216" s="95"/>
      <c r="AC216" s="95"/>
    </row>
    <row r="217" spans="19:29" ht="15.75" x14ac:dyDescent="0.25">
      <c r="S217" s="95"/>
      <c r="T217" s="95"/>
      <c r="U217" s="95"/>
      <c r="V217" s="95"/>
      <c r="W217" s="95"/>
      <c r="X217" s="95"/>
      <c r="Y217" s="95"/>
      <c r="Z217" s="95"/>
      <c r="AA217" s="95"/>
      <c r="AB217" s="95"/>
      <c r="AC217" s="95"/>
    </row>
    <row r="218" spans="19:29" ht="15.75" x14ac:dyDescent="0.25">
      <c r="S218" s="95"/>
      <c r="T218" s="95"/>
      <c r="U218" s="95"/>
      <c r="V218" s="95"/>
      <c r="W218" s="95"/>
      <c r="X218" s="95"/>
      <c r="Y218" s="95"/>
      <c r="Z218" s="95"/>
      <c r="AA218" s="95"/>
      <c r="AB218" s="95"/>
      <c r="AC218" s="95"/>
    </row>
    <row r="219" spans="19:29" ht="15.75" x14ac:dyDescent="0.25">
      <c r="S219" s="95"/>
      <c r="T219" s="95"/>
      <c r="U219" s="95"/>
      <c r="V219" s="95"/>
      <c r="W219" s="95"/>
      <c r="X219" s="95"/>
      <c r="Y219" s="95"/>
      <c r="Z219" s="95"/>
      <c r="AA219" s="95"/>
      <c r="AB219" s="95"/>
      <c r="AC219" s="95"/>
    </row>
    <row r="220" spans="19:29" ht="15.75" x14ac:dyDescent="0.25">
      <c r="S220" s="95"/>
      <c r="T220" s="95"/>
      <c r="U220" s="95"/>
      <c r="V220" s="95"/>
      <c r="W220" s="95"/>
      <c r="X220" s="95"/>
      <c r="Y220" s="95"/>
      <c r="Z220" s="95"/>
      <c r="AA220" s="95"/>
      <c r="AB220" s="95"/>
      <c r="AC220" s="95"/>
    </row>
    <row r="221" spans="19:29" ht="15.75" x14ac:dyDescent="0.25">
      <c r="S221" s="95"/>
      <c r="T221" s="95"/>
      <c r="U221" s="95"/>
      <c r="V221" s="95"/>
      <c r="W221" s="95"/>
      <c r="X221" s="95"/>
      <c r="Y221" s="95"/>
      <c r="Z221" s="95"/>
      <c r="AA221" s="95"/>
      <c r="AB221" s="95"/>
      <c r="AC221" s="95"/>
    </row>
    <row r="222" spans="19:29" ht="15.75" x14ac:dyDescent="0.25">
      <c r="S222" s="95"/>
      <c r="T222" s="95"/>
      <c r="U222" s="95"/>
      <c r="V222" s="95"/>
      <c r="W222" s="95"/>
      <c r="X222" s="95"/>
      <c r="Y222" s="95"/>
      <c r="Z222" s="95"/>
      <c r="AA222" s="95"/>
      <c r="AB222" s="95"/>
      <c r="AC222" s="95"/>
    </row>
    <row r="223" spans="19:29" ht="15.75" x14ac:dyDescent="0.25">
      <c r="S223" s="95"/>
      <c r="T223" s="95"/>
      <c r="U223" s="95"/>
      <c r="V223" s="95"/>
      <c r="W223" s="95"/>
      <c r="X223" s="95"/>
      <c r="Y223" s="95"/>
      <c r="Z223" s="95"/>
      <c r="AA223" s="95"/>
      <c r="AB223" s="95"/>
      <c r="AC223" s="95"/>
    </row>
    <row r="224" spans="19:29" ht="15.75" x14ac:dyDescent="0.25">
      <c r="S224" s="95"/>
      <c r="T224" s="95"/>
      <c r="U224" s="95"/>
      <c r="V224" s="95"/>
      <c r="W224" s="95"/>
      <c r="X224" s="95"/>
      <c r="Y224" s="95"/>
      <c r="Z224" s="95"/>
      <c r="AA224" s="95"/>
      <c r="AB224" s="95"/>
      <c r="AC224" s="95"/>
    </row>
    <row r="225" spans="19:29" ht="15.75" x14ac:dyDescent="0.25">
      <c r="S225" s="95"/>
      <c r="T225" s="95"/>
      <c r="U225" s="95"/>
      <c r="V225" s="95"/>
      <c r="W225" s="95"/>
      <c r="X225" s="95"/>
      <c r="Y225" s="95"/>
      <c r="Z225" s="95"/>
      <c r="AA225" s="95"/>
      <c r="AB225" s="95"/>
      <c r="AC225" s="95"/>
    </row>
    <row r="226" spans="19:29" ht="15.75" x14ac:dyDescent="0.25">
      <c r="S226" s="95"/>
      <c r="T226" s="95"/>
      <c r="U226" s="95"/>
      <c r="V226" s="95"/>
      <c r="W226" s="95"/>
      <c r="X226" s="95"/>
      <c r="Y226" s="95"/>
      <c r="Z226" s="95"/>
      <c r="AA226" s="95"/>
      <c r="AB226" s="95"/>
      <c r="AC226" s="95"/>
    </row>
    <row r="227" spans="19:29" ht="15.75" x14ac:dyDescent="0.25">
      <c r="S227" s="95"/>
      <c r="T227" s="95"/>
      <c r="U227" s="95"/>
      <c r="V227" s="95"/>
      <c r="W227" s="95"/>
      <c r="X227" s="95"/>
      <c r="Y227" s="95"/>
      <c r="Z227" s="95"/>
      <c r="AA227" s="95"/>
      <c r="AB227" s="95"/>
      <c r="AC227" s="95"/>
    </row>
    <row r="228" spans="19:29" ht="15.75" x14ac:dyDescent="0.25">
      <c r="S228" s="95"/>
      <c r="T228" s="95"/>
      <c r="U228" s="95"/>
      <c r="V228" s="95"/>
      <c r="W228" s="95"/>
      <c r="X228" s="95"/>
      <c r="Y228" s="95"/>
      <c r="Z228" s="95"/>
      <c r="AA228" s="95"/>
      <c r="AB228" s="95"/>
      <c r="AC228" s="95"/>
    </row>
    <row r="229" spans="19:29" ht="15.75" x14ac:dyDescent="0.25">
      <c r="S229" s="95"/>
      <c r="T229" s="95"/>
      <c r="U229" s="95"/>
      <c r="V229" s="95"/>
      <c r="W229" s="95"/>
      <c r="X229" s="95"/>
      <c r="Y229" s="95"/>
      <c r="Z229" s="95"/>
      <c r="AA229" s="95"/>
      <c r="AB229" s="95"/>
      <c r="AC229" s="95"/>
    </row>
    <row r="230" spans="19:29" ht="15.75" x14ac:dyDescent="0.25">
      <c r="S230" s="95"/>
      <c r="T230" s="95"/>
      <c r="U230" s="95"/>
      <c r="V230" s="95"/>
      <c r="W230" s="95"/>
      <c r="X230" s="95"/>
      <c r="Y230" s="95"/>
      <c r="Z230" s="95"/>
      <c r="AA230" s="95"/>
      <c r="AB230" s="95"/>
      <c r="AC230" s="95"/>
    </row>
    <row r="231" spans="19:29" ht="15.75" x14ac:dyDescent="0.25">
      <c r="S231" s="95"/>
      <c r="T231" s="95"/>
      <c r="U231" s="95"/>
      <c r="V231" s="95"/>
      <c r="W231" s="95"/>
      <c r="X231" s="95"/>
      <c r="Y231" s="95"/>
      <c r="Z231" s="95"/>
      <c r="AA231" s="95"/>
      <c r="AB231" s="95"/>
      <c r="AC231" s="95"/>
    </row>
  </sheetData>
  <sheetProtection selectLockedCells="1"/>
  <mergeCells count="47">
    <mergeCell ref="A71:R71"/>
    <mergeCell ref="D2:G2"/>
    <mergeCell ref="K2:N2"/>
    <mergeCell ref="S2:AP71"/>
    <mergeCell ref="A44:R44"/>
    <mergeCell ref="A3:C3"/>
    <mergeCell ref="C40:C42"/>
    <mergeCell ref="A40:B40"/>
    <mergeCell ref="A42:B42"/>
    <mergeCell ref="A46:R46"/>
    <mergeCell ref="A1:R1"/>
    <mergeCell ref="A13:C13"/>
    <mergeCell ref="A14:C14"/>
    <mergeCell ref="A15:R15"/>
    <mergeCell ref="A16:C16"/>
    <mergeCell ref="A12:R12"/>
    <mergeCell ref="H9:J10"/>
    <mergeCell ref="H3:J3"/>
    <mergeCell ref="O9:R10"/>
    <mergeCell ref="O8:Q8"/>
    <mergeCell ref="A54:C54"/>
    <mergeCell ref="A29:C29"/>
    <mergeCell ref="A26:C26"/>
    <mergeCell ref="A28:C28"/>
    <mergeCell ref="A41:B41"/>
    <mergeCell ref="A43:C43"/>
    <mergeCell ref="A39:C39"/>
    <mergeCell ref="A35:R35"/>
    <mergeCell ref="A37:C37"/>
    <mergeCell ref="A38:C38"/>
    <mergeCell ref="O3:R3"/>
    <mergeCell ref="A27:C27"/>
    <mergeCell ref="A17:C17"/>
    <mergeCell ref="A18:C18"/>
    <mergeCell ref="A19:C19"/>
    <mergeCell ref="A33:C33"/>
    <mergeCell ref="A30:C30"/>
    <mergeCell ref="A31:C31"/>
    <mergeCell ref="A32:C32"/>
    <mergeCell ref="A53:R53"/>
    <mergeCell ref="A24:C24"/>
    <mergeCell ref="A21:C21"/>
    <mergeCell ref="A25:C25"/>
    <mergeCell ref="A9:C10"/>
    <mergeCell ref="A20:R20"/>
    <mergeCell ref="A22:C22"/>
    <mergeCell ref="A23:C23"/>
  </mergeCells>
  <dataValidations count="4">
    <dataValidation type="list" allowBlank="1" showInputMessage="1" showErrorMessage="1" sqref="C5" xr:uid="{00000000-0002-0000-0000-000000000000}">
      <formula1>"Célibataire-Divorcé-Veuf,Marié-Pacsé"</formula1>
    </dataValidation>
    <dataValidation type="list" allowBlank="1" showInputMessage="1" showErrorMessage="1" sqref="J7 R6" xr:uid="{00000000-0002-0000-0000-000001000000}">
      <formula1>"1,2,3,4,5,6,7,8,9,10,11,12,13,14,15,16,17,18,19,20,21,22,23,24,25,26,27,28,29,30"</formula1>
    </dataValidation>
    <dataValidation type="list" allowBlank="1" showInputMessage="1" showErrorMessage="1" sqref="F5" xr:uid="{00000000-0002-0000-0000-000002000000}">
      <formula1>$H$94:$H$98</formula1>
    </dataValidation>
    <dataValidation type="list" allowBlank="1" showInputMessage="1" showErrorMessage="1" sqref="F6" xr:uid="{00000000-0002-0000-0000-000003000000}">
      <formula1>$J$93:$J$96</formula1>
    </dataValidation>
  </dataValidations>
  <hyperlinks>
    <hyperlink ref="S1" r:id="rId1" xr:uid="{00000000-0004-0000-0000-000000000000}"/>
    <hyperlink ref="A53:R53" r:id="rId2" display="Partagez le simulateur sur facebook en cliquant ici" xr:uid="{00000000-0004-0000-0000-000001000000}"/>
    <hyperlink ref="S2" r:id="rId3" xr:uid="{00000000-0004-0000-0000-000002000000}"/>
    <hyperlink ref="S2:AP71" r:id="rId4" display="https://www.corrigetonimpot.fr/" xr:uid="{00000000-0004-0000-0000-000003000000}"/>
  </hyperlinks>
  <pageMargins left="0.7" right="0.7" top="0.75" bottom="0.75" header="0.3" footer="0.3"/>
  <pageSetup paperSize="9" orientation="portrait" horizontalDpi="0" verticalDpi="0" r:id="rId5"/>
  <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www.corrigetonimpot!$I$48:$I$56</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W372"/>
  <sheetViews>
    <sheetView showGridLines="0" workbookViewId="0">
      <pane ySplit="9" topLeftCell="A10" activePane="bottomLeft" state="frozen"/>
      <selection pane="bottomLeft" activeCell="B8" sqref="B8:H8"/>
    </sheetView>
  </sheetViews>
  <sheetFormatPr baseColWidth="10" defaultRowHeight="12.75" x14ac:dyDescent="0.2"/>
  <cols>
    <col min="1" max="1" width="3.7109375" style="1" customWidth="1"/>
    <col min="2" max="2" width="11.42578125" style="2"/>
    <col min="3" max="5" width="11.42578125" style="1"/>
    <col min="6" max="6" width="12.140625" style="1" bestFit="1" customWidth="1"/>
    <col min="7" max="7" width="11.42578125" style="1"/>
    <col min="8" max="8" width="14.140625" style="1" customWidth="1"/>
    <col min="9" max="9" width="3.7109375" style="1" customWidth="1"/>
    <col min="10" max="12" width="11.42578125" style="1"/>
    <col min="13" max="13" width="3.7109375" style="1" customWidth="1"/>
    <col min="14" max="14" width="21.28515625" style="1" hidden="1" customWidth="1"/>
    <col min="15" max="15" width="11.42578125" style="1" hidden="1" customWidth="1"/>
    <col min="16" max="16" width="6.140625" style="1" hidden="1" customWidth="1"/>
    <col min="17" max="17" width="11.42578125" style="1" hidden="1" customWidth="1"/>
    <col min="18" max="18" width="17.42578125" style="1" hidden="1" customWidth="1"/>
    <col min="19" max="19" width="11.42578125" style="1"/>
    <col min="20" max="20" width="18.140625" style="1" customWidth="1"/>
    <col min="21" max="16384" width="11.42578125" style="1"/>
  </cols>
  <sheetData>
    <row r="1" spans="2:23" ht="18.75" x14ac:dyDescent="0.3">
      <c r="B1" s="311" t="s">
        <v>58</v>
      </c>
      <c r="C1" s="311"/>
      <c r="D1" s="311"/>
      <c r="F1" s="309" t="s">
        <v>173</v>
      </c>
      <c r="G1" s="309"/>
      <c r="H1" s="309"/>
      <c r="I1" s="309"/>
      <c r="J1" s="309"/>
      <c r="K1" s="309"/>
      <c r="L1" s="309"/>
      <c r="M1" s="309"/>
      <c r="N1" s="309"/>
      <c r="O1" s="309"/>
      <c r="P1" s="309"/>
      <c r="Q1" s="309"/>
      <c r="R1" s="309"/>
      <c r="S1" s="309"/>
      <c r="T1" s="309"/>
      <c r="U1" s="309"/>
      <c r="V1" s="309"/>
    </row>
    <row r="2" spans="2:23" x14ac:dyDescent="0.2">
      <c r="B2" s="308" t="s">
        <v>57</v>
      </c>
      <c r="C2" s="308"/>
      <c r="D2" s="133">
        <f>'Investissement locatif'!J5</f>
        <v>100000</v>
      </c>
      <c r="F2" s="310" t="str">
        <f>"Montant "&amp;R4&amp;" :"</f>
        <v>Montant mensualité :</v>
      </c>
      <c r="G2" s="310"/>
      <c r="H2" s="178">
        <f>IF(L6=0,ROUND(D2/L4,R5),ROUND(D2*L6/(1-(1+L6)^-L4),R5))</f>
        <v>602.9</v>
      </c>
      <c r="I2" s="176"/>
      <c r="J2" s="307" t="s">
        <v>56</v>
      </c>
      <c r="K2" s="307"/>
      <c r="L2" s="176">
        <f>ROUND(D4*P4,0)</f>
        <v>180</v>
      </c>
      <c r="M2" s="176"/>
      <c r="N2" s="14"/>
      <c r="O2" s="13"/>
      <c r="P2" s="12" t="s">
        <v>55</v>
      </c>
      <c r="Q2" s="12" t="s">
        <v>54</v>
      </c>
      <c r="R2" s="12" t="s">
        <v>53</v>
      </c>
    </row>
    <row r="3" spans="2:23" x14ac:dyDescent="0.2">
      <c r="B3" s="308" t="s">
        <v>52</v>
      </c>
      <c r="C3" s="308"/>
      <c r="D3" s="134">
        <f>'Investissement locatif'!J6</f>
        <v>1.0999999999999999E-2</v>
      </c>
      <c r="F3" s="307" t="s">
        <v>51</v>
      </c>
      <c r="G3" s="307"/>
      <c r="H3" s="179">
        <f>ROUND(D2*D6/P4,R5)</f>
        <v>8.33</v>
      </c>
      <c r="I3" s="176"/>
      <c r="J3" s="306" t="s">
        <v>50</v>
      </c>
      <c r="K3" s="306"/>
      <c r="L3" s="176">
        <f>IF(D5&gt;=D4,L2-1,ROUND(D5*P4,0))</f>
        <v>0</v>
      </c>
      <c r="M3" s="176"/>
      <c r="N3" s="177" t="s">
        <v>49</v>
      </c>
      <c r="O3" s="11"/>
      <c r="P3" s="24" t="s">
        <v>48</v>
      </c>
      <c r="Q3" s="11" t="s">
        <v>47</v>
      </c>
      <c r="R3" s="10" t="str">
        <f>IF(LEFT(P3,1)="A","Calcul actuariel","Calcul proportionnel")</f>
        <v>Calcul proportionnel</v>
      </c>
    </row>
    <row r="4" spans="2:23" x14ac:dyDescent="0.2">
      <c r="B4" s="308" t="s">
        <v>46</v>
      </c>
      <c r="C4" s="308"/>
      <c r="D4" s="135">
        <f>'Investissement locatif'!J7</f>
        <v>15</v>
      </c>
      <c r="F4" s="310" t="s">
        <v>45</v>
      </c>
      <c r="G4" s="310"/>
      <c r="H4" s="178">
        <f>H5+H6</f>
        <v>10021.879999999997</v>
      </c>
      <c r="I4" s="176"/>
      <c r="J4" s="306" t="s">
        <v>44</v>
      </c>
      <c r="K4" s="306"/>
      <c r="L4" s="176">
        <f>L2-L3</f>
        <v>180</v>
      </c>
      <c r="M4" s="176"/>
      <c r="N4" s="177" t="s">
        <v>43</v>
      </c>
      <c r="O4" s="11"/>
      <c r="P4" s="24">
        <v>12</v>
      </c>
      <c r="Q4" s="11" t="s">
        <v>42</v>
      </c>
      <c r="R4" s="10" t="str">
        <f>IF(P4=12,"mensualité",IF(P4=1,"annuité",IF(P4=4,"trimestrialité",IF(P4=2,"semestrialité","ERREUR"))))</f>
        <v>mensualité</v>
      </c>
    </row>
    <row r="5" spans="2:23" hidden="1" x14ac:dyDescent="0.2">
      <c r="B5" s="305" t="s">
        <v>41</v>
      </c>
      <c r="C5" s="305"/>
      <c r="D5" s="136"/>
      <c r="F5" s="306" t="s">
        <v>40</v>
      </c>
      <c r="G5" s="306"/>
      <c r="H5" s="179">
        <f>E372</f>
        <v>8522.48</v>
      </c>
      <c r="I5" s="176"/>
      <c r="J5" s="307" t="s">
        <v>39</v>
      </c>
      <c r="K5" s="307"/>
      <c r="L5" s="176">
        <f>L2*12/P4</f>
        <v>180</v>
      </c>
      <c r="M5" s="176"/>
      <c r="N5" s="177" t="s">
        <v>38</v>
      </c>
      <c r="O5" s="11"/>
      <c r="P5" s="24">
        <v>2</v>
      </c>
      <c r="Q5" s="11" t="s">
        <v>37</v>
      </c>
      <c r="R5" s="10">
        <f>IF(ISNUMBER(P5),P5,2)</f>
        <v>2</v>
      </c>
    </row>
    <row r="6" spans="2:23" x14ac:dyDescent="0.2">
      <c r="B6" s="305" t="s">
        <v>36</v>
      </c>
      <c r="C6" s="305"/>
      <c r="D6" s="137">
        <f>'Investissement locatif'!J8</f>
        <v>1E-3</v>
      </c>
      <c r="F6" s="306" t="s">
        <v>35</v>
      </c>
      <c r="G6" s="306"/>
      <c r="H6" s="179">
        <f>G372</f>
        <v>1499.399999999998</v>
      </c>
      <c r="I6" s="176"/>
      <c r="J6" s="307" t="s">
        <v>34</v>
      </c>
      <c r="K6" s="307"/>
      <c r="L6" s="180">
        <f>IF(D3=0,0,IF(LEFT(P3,1)="A",((D3+1)^(1/P4))-1,D3/P4))</f>
        <v>9.1666666666666665E-4</v>
      </c>
      <c r="M6" s="176"/>
    </row>
    <row r="7" spans="2:23" x14ac:dyDescent="0.2">
      <c r="B7" s="305" t="s">
        <v>33</v>
      </c>
      <c r="C7" s="305"/>
      <c r="D7" s="138">
        <v>44927</v>
      </c>
      <c r="F7" s="307" t="s">
        <v>32</v>
      </c>
      <c r="G7" s="307"/>
      <c r="H7" s="179">
        <f>F372</f>
        <v>100000.00000000001</v>
      </c>
      <c r="I7" s="176"/>
      <c r="J7" s="307" t="s">
        <v>31</v>
      </c>
      <c r="K7" s="307"/>
      <c r="L7" s="181" t="str">
        <f>IF(ABS(H7-D10)&gt;0.01,"KO","Ok")</f>
        <v>Ok</v>
      </c>
      <c r="M7" s="176"/>
    </row>
    <row r="8" spans="2:23" x14ac:dyDescent="0.2">
      <c r="B8" s="303" t="s">
        <v>30</v>
      </c>
      <c r="C8" s="303"/>
      <c r="D8" s="303"/>
      <c r="E8" s="303"/>
      <c r="F8" s="303"/>
      <c r="G8" s="303"/>
      <c r="H8" s="303"/>
    </row>
    <row r="9" spans="2:23" x14ac:dyDescent="0.2">
      <c r="B9" s="9" t="s">
        <v>29</v>
      </c>
      <c r="C9" s="8" t="s">
        <v>28</v>
      </c>
      <c r="D9" s="8" t="s">
        <v>27</v>
      </c>
      <c r="E9" s="8" t="s">
        <v>26</v>
      </c>
      <c r="F9" s="8" t="s">
        <v>25</v>
      </c>
      <c r="G9" s="8" t="s">
        <v>24</v>
      </c>
      <c r="H9" s="8" t="s">
        <v>23</v>
      </c>
      <c r="J9" s="8"/>
      <c r="K9" s="8"/>
      <c r="L9" s="8"/>
    </row>
    <row r="10" spans="2:23" x14ac:dyDescent="0.2">
      <c r="B10" s="2">
        <v>0</v>
      </c>
      <c r="C10" s="5">
        <f>D7</f>
        <v>44927</v>
      </c>
      <c r="D10" s="3">
        <f>ROUND(D2,R5)</f>
        <v>100000</v>
      </c>
      <c r="E10" s="3"/>
      <c r="F10" s="3"/>
      <c r="G10" s="3"/>
      <c r="H10" s="3"/>
    </row>
    <row r="11" spans="2:23" x14ac:dyDescent="0.2">
      <c r="B11" s="2">
        <f t="shared" ref="B11:B74" si="0">IF(B10&lt;$L$2,B10+1,"-")</f>
        <v>1</v>
      </c>
      <c r="C11" s="5">
        <f t="shared" ref="C11:C74" si="1">IF(ISNUMBER(B11),MIN(DATE(YEAR($C$10),MONTH($C$10)+B11*12/$P$4,DAY($C$10)),DATE(YEAR($C$10),MONTH($C$10)+1+B11*12/$P$4,1)-1),"")</f>
        <v>44958</v>
      </c>
      <c r="D11" s="3">
        <f t="shared" ref="D11:D74" si="2">IF(ISNUMBER(B11),D10-F10,"")</f>
        <v>100000</v>
      </c>
      <c r="E11" s="3">
        <f t="shared" ref="E11:E74" si="3">IF(ISNUMBER(B11),ROUND(D11*$L$6,$R$5),"")</f>
        <v>91.67</v>
      </c>
      <c r="F11" s="3">
        <f t="shared" ref="F11:F74" si="4">IF(ISNUMBER(B11),IF(B11=$L$2,D11,IF(B11&gt;$L$3,$H$2-E11,0)),"")</f>
        <v>511.22999999999996</v>
      </c>
      <c r="G11" s="3">
        <f t="shared" ref="G11:G74" si="5">IF(ISNUMBER(B11),$H$3,"")</f>
        <v>8.33</v>
      </c>
      <c r="H11" s="3">
        <f t="shared" ref="H11:H74" si="6">IF(ISNUMBER(B11),E11+F11+G11,"")</f>
        <v>611.23</v>
      </c>
      <c r="J11" s="7"/>
      <c r="K11" s="7"/>
      <c r="L11" s="7"/>
    </row>
    <row r="12" spans="2:23" x14ac:dyDescent="0.2">
      <c r="B12" s="2">
        <f t="shared" si="0"/>
        <v>2</v>
      </c>
      <c r="C12" s="5">
        <f t="shared" si="1"/>
        <v>44986</v>
      </c>
      <c r="D12" s="3">
        <f t="shared" si="2"/>
        <v>99488.77</v>
      </c>
      <c r="E12" s="3">
        <f t="shared" si="3"/>
        <v>91.2</v>
      </c>
      <c r="F12" s="3">
        <f t="shared" si="4"/>
        <v>511.7</v>
      </c>
      <c r="G12" s="3">
        <f t="shared" si="5"/>
        <v>8.33</v>
      </c>
      <c r="H12" s="3">
        <f t="shared" si="6"/>
        <v>611.23</v>
      </c>
      <c r="J12" s="7"/>
      <c r="K12" s="7"/>
      <c r="L12" s="7"/>
      <c r="S12" s="17"/>
      <c r="T12" s="17"/>
      <c r="U12" s="17"/>
    </row>
    <row r="13" spans="2:23" x14ac:dyDescent="0.2">
      <c r="B13" s="2">
        <f t="shared" si="0"/>
        <v>3</v>
      </c>
      <c r="C13" s="5">
        <f t="shared" si="1"/>
        <v>45017</v>
      </c>
      <c r="D13" s="3">
        <f t="shared" si="2"/>
        <v>98977.07</v>
      </c>
      <c r="E13" s="3">
        <f t="shared" si="3"/>
        <v>90.73</v>
      </c>
      <c r="F13" s="3">
        <f t="shared" si="4"/>
        <v>512.16999999999996</v>
      </c>
      <c r="G13" s="3">
        <f t="shared" si="5"/>
        <v>8.33</v>
      </c>
      <c r="H13" s="3">
        <f t="shared" si="6"/>
        <v>611.23</v>
      </c>
      <c r="J13" s="7"/>
      <c r="K13" s="15"/>
      <c r="S13" s="18" t="s">
        <v>59</v>
      </c>
      <c r="T13" s="19" t="s">
        <v>60</v>
      </c>
      <c r="U13" s="20" t="s">
        <v>61</v>
      </c>
      <c r="V13" s="59" t="s">
        <v>116</v>
      </c>
    </row>
    <row r="14" spans="2:23" ht="15" customHeight="1" x14ac:dyDescent="0.2">
      <c r="B14" s="2">
        <f t="shared" si="0"/>
        <v>4</v>
      </c>
      <c r="C14" s="5">
        <f t="shared" si="1"/>
        <v>45047</v>
      </c>
      <c r="D14" s="3">
        <f t="shared" si="2"/>
        <v>98464.900000000009</v>
      </c>
      <c r="E14" s="3">
        <f t="shared" si="3"/>
        <v>90.26</v>
      </c>
      <c r="F14" s="3">
        <f t="shared" si="4"/>
        <v>512.64</v>
      </c>
      <c r="G14" s="3">
        <f t="shared" si="5"/>
        <v>8.33</v>
      </c>
      <c r="H14" s="3">
        <f t="shared" si="6"/>
        <v>611.23</v>
      </c>
      <c r="J14" s="7"/>
      <c r="K14" s="15"/>
      <c r="S14" s="18">
        <v>1</v>
      </c>
      <c r="T14" s="21">
        <f>SUM(E11:E22)</f>
        <v>1068.99</v>
      </c>
      <c r="U14" s="21">
        <f>SUM(G11:G22)</f>
        <v>99.96</v>
      </c>
      <c r="V14" s="60">
        <f>SUM(H11:H22)</f>
        <v>7334.76</v>
      </c>
      <c r="W14" s="60"/>
    </row>
    <row r="15" spans="2:23" ht="15" customHeight="1" x14ac:dyDescent="0.2">
      <c r="B15" s="2">
        <f t="shared" si="0"/>
        <v>5</v>
      </c>
      <c r="C15" s="5">
        <f t="shared" si="1"/>
        <v>45078</v>
      </c>
      <c r="D15" s="3">
        <f t="shared" si="2"/>
        <v>97952.260000000009</v>
      </c>
      <c r="E15" s="3">
        <f t="shared" si="3"/>
        <v>89.79</v>
      </c>
      <c r="F15" s="3">
        <f t="shared" si="4"/>
        <v>513.11</v>
      </c>
      <c r="G15" s="3">
        <f t="shared" si="5"/>
        <v>8.33</v>
      </c>
      <c r="H15" s="3">
        <f t="shared" si="6"/>
        <v>611.23</v>
      </c>
      <c r="K15" s="15"/>
      <c r="S15" s="18">
        <v>2</v>
      </c>
      <c r="T15" s="21">
        <f>SUM(E23:E34)</f>
        <v>1000.81</v>
      </c>
      <c r="U15" s="21">
        <f>SUM(G23:G34)</f>
        <v>99.96</v>
      </c>
      <c r="V15" s="60">
        <f>SUM(H23:H34)</f>
        <v>7334.76</v>
      </c>
      <c r="W15" s="60"/>
    </row>
    <row r="16" spans="2:23" ht="15" customHeight="1" x14ac:dyDescent="0.2">
      <c r="B16" s="2">
        <f t="shared" si="0"/>
        <v>6</v>
      </c>
      <c r="C16" s="5">
        <f t="shared" si="1"/>
        <v>45108</v>
      </c>
      <c r="D16" s="3">
        <f t="shared" si="2"/>
        <v>97439.150000000009</v>
      </c>
      <c r="E16" s="3">
        <f t="shared" si="3"/>
        <v>89.32</v>
      </c>
      <c r="F16" s="3">
        <f t="shared" si="4"/>
        <v>513.57999999999993</v>
      </c>
      <c r="G16" s="3">
        <f t="shared" si="5"/>
        <v>8.33</v>
      </c>
      <c r="H16" s="3">
        <f t="shared" si="6"/>
        <v>611.2299999999999</v>
      </c>
      <c r="J16" s="6"/>
      <c r="K16" s="15"/>
      <c r="S16" s="18">
        <v>3</v>
      </c>
      <c r="T16" s="21">
        <f>SUM(E35:E46)</f>
        <v>931.8900000000001</v>
      </c>
      <c r="U16" s="21">
        <f>SUM(G35:G46)</f>
        <v>99.96</v>
      </c>
      <c r="V16" s="60">
        <f>SUM(H35:H46)</f>
        <v>7334.76</v>
      </c>
      <c r="W16" s="60"/>
    </row>
    <row r="17" spans="2:23" ht="15" customHeight="1" x14ac:dyDescent="0.2">
      <c r="B17" s="2">
        <f t="shared" si="0"/>
        <v>7</v>
      </c>
      <c r="C17" s="5">
        <f t="shared" si="1"/>
        <v>45139</v>
      </c>
      <c r="D17" s="3">
        <f t="shared" si="2"/>
        <v>96925.57</v>
      </c>
      <c r="E17" s="3">
        <f t="shared" si="3"/>
        <v>88.85</v>
      </c>
      <c r="F17" s="3">
        <f t="shared" si="4"/>
        <v>514.04999999999995</v>
      </c>
      <c r="G17" s="3">
        <f t="shared" si="5"/>
        <v>8.33</v>
      </c>
      <c r="H17" s="3">
        <f t="shared" si="6"/>
        <v>611.23</v>
      </c>
      <c r="K17" s="15"/>
      <c r="S17" s="18">
        <v>4</v>
      </c>
      <c r="T17" s="21">
        <f>SUM(E47:E58)</f>
        <v>862.20999999999992</v>
      </c>
      <c r="U17" s="21">
        <f>SUM(G47:G58)</f>
        <v>99.96</v>
      </c>
      <c r="V17" s="60">
        <f>SUM(H47:H58)</f>
        <v>7334.7599999999984</v>
      </c>
      <c r="W17" s="60"/>
    </row>
    <row r="18" spans="2:23" ht="15" customHeight="1" x14ac:dyDescent="0.2">
      <c r="B18" s="2">
        <f t="shared" si="0"/>
        <v>8</v>
      </c>
      <c r="C18" s="5">
        <f t="shared" si="1"/>
        <v>45170</v>
      </c>
      <c r="D18" s="3">
        <f t="shared" si="2"/>
        <v>96411.520000000004</v>
      </c>
      <c r="E18" s="3">
        <f t="shared" si="3"/>
        <v>88.38</v>
      </c>
      <c r="F18" s="3">
        <f t="shared" si="4"/>
        <v>514.52</v>
      </c>
      <c r="G18" s="3">
        <f t="shared" si="5"/>
        <v>8.33</v>
      </c>
      <c r="H18" s="3">
        <f t="shared" si="6"/>
        <v>611.23</v>
      </c>
      <c r="K18" s="15"/>
      <c r="S18" s="18">
        <v>5</v>
      </c>
      <c r="T18" s="21">
        <f>SUM(E59:E70)</f>
        <v>791.75</v>
      </c>
      <c r="U18" s="21">
        <f>SUM(G59:G70)</f>
        <v>99.96</v>
      </c>
      <c r="V18" s="60">
        <f>SUM(H59:H70)</f>
        <v>7334.7599999999984</v>
      </c>
      <c r="W18" s="60"/>
    </row>
    <row r="19" spans="2:23" ht="15" customHeight="1" x14ac:dyDescent="0.2">
      <c r="B19" s="2">
        <f t="shared" si="0"/>
        <v>9</v>
      </c>
      <c r="C19" s="5">
        <f t="shared" si="1"/>
        <v>45200</v>
      </c>
      <c r="D19" s="3">
        <f t="shared" si="2"/>
        <v>95897</v>
      </c>
      <c r="E19" s="3">
        <f t="shared" si="3"/>
        <v>87.91</v>
      </c>
      <c r="F19" s="3">
        <f t="shared" si="4"/>
        <v>514.99</v>
      </c>
      <c r="G19" s="3">
        <f t="shared" si="5"/>
        <v>8.33</v>
      </c>
      <c r="H19" s="3">
        <f t="shared" si="6"/>
        <v>611.23</v>
      </c>
      <c r="J19" s="3"/>
      <c r="K19" s="15"/>
      <c r="S19" s="18">
        <v>6</v>
      </c>
      <c r="T19" s="21">
        <f>SUM(E71:E82)</f>
        <v>720.49999999999989</v>
      </c>
      <c r="U19" s="21">
        <f>SUM(G71:G82)</f>
        <v>99.96</v>
      </c>
      <c r="V19" s="60">
        <f>SUM(H71:H82)</f>
        <v>7334.7599999999984</v>
      </c>
      <c r="W19" s="60"/>
    </row>
    <row r="20" spans="2:23" ht="15" customHeight="1" x14ac:dyDescent="0.2">
      <c r="B20" s="2">
        <f t="shared" si="0"/>
        <v>10</v>
      </c>
      <c r="C20" s="5">
        <f t="shared" si="1"/>
        <v>45231</v>
      </c>
      <c r="D20" s="3">
        <f t="shared" si="2"/>
        <v>95382.01</v>
      </c>
      <c r="E20" s="3">
        <f t="shared" si="3"/>
        <v>87.43</v>
      </c>
      <c r="F20" s="3">
        <f t="shared" si="4"/>
        <v>515.47</v>
      </c>
      <c r="G20" s="3">
        <f t="shared" si="5"/>
        <v>8.33</v>
      </c>
      <c r="H20" s="3">
        <f t="shared" si="6"/>
        <v>611.23000000000013</v>
      </c>
      <c r="J20" s="3"/>
      <c r="K20" s="3"/>
      <c r="S20" s="18">
        <v>7</v>
      </c>
      <c r="T20" s="21">
        <f>SUM(E83:E94)</f>
        <v>648.5</v>
      </c>
      <c r="U20" s="21">
        <f>SUM(G83:G94)</f>
        <v>99.96</v>
      </c>
      <c r="V20" s="60">
        <f>SUM(H83:H94)</f>
        <v>7334.7599999999984</v>
      </c>
      <c r="W20" s="60"/>
    </row>
    <row r="21" spans="2:23" ht="15" customHeight="1" x14ac:dyDescent="0.2">
      <c r="B21" s="2">
        <f t="shared" si="0"/>
        <v>11</v>
      </c>
      <c r="C21" s="5">
        <f t="shared" si="1"/>
        <v>45261</v>
      </c>
      <c r="D21" s="3">
        <f t="shared" si="2"/>
        <v>94866.54</v>
      </c>
      <c r="E21" s="3">
        <f t="shared" si="3"/>
        <v>86.96</v>
      </c>
      <c r="F21" s="3">
        <f t="shared" si="4"/>
        <v>515.93999999999994</v>
      </c>
      <c r="G21" s="3">
        <f t="shared" si="5"/>
        <v>8.33</v>
      </c>
      <c r="H21" s="3">
        <f t="shared" si="6"/>
        <v>611.23</v>
      </c>
      <c r="J21" s="3"/>
      <c r="K21" s="3"/>
      <c r="S21" s="18">
        <v>8</v>
      </c>
      <c r="T21" s="21">
        <f>SUM(E95:E106)</f>
        <v>575.66999999999996</v>
      </c>
      <c r="U21" s="21">
        <f>SUM(G95:G106)</f>
        <v>99.96</v>
      </c>
      <c r="V21" s="60">
        <f>SUM(H95:H106)</f>
        <v>7334.76</v>
      </c>
      <c r="W21" s="60"/>
    </row>
    <row r="22" spans="2:23" ht="15" customHeight="1" x14ac:dyDescent="0.2">
      <c r="B22" s="2">
        <f t="shared" si="0"/>
        <v>12</v>
      </c>
      <c r="C22" s="5">
        <f t="shared" si="1"/>
        <v>45292</v>
      </c>
      <c r="D22" s="3">
        <f t="shared" si="2"/>
        <v>94350.599999999991</v>
      </c>
      <c r="E22" s="3">
        <f t="shared" si="3"/>
        <v>86.49</v>
      </c>
      <c r="F22" s="3">
        <f t="shared" si="4"/>
        <v>516.41</v>
      </c>
      <c r="G22" s="3">
        <f t="shared" si="5"/>
        <v>8.33</v>
      </c>
      <c r="H22" s="3">
        <f t="shared" si="6"/>
        <v>611.23</v>
      </c>
      <c r="J22" s="3"/>
      <c r="K22" s="3"/>
      <c r="S22" s="18">
        <v>9</v>
      </c>
      <c r="T22" s="21">
        <f>SUM(E107:E118)</f>
        <v>502.06</v>
      </c>
      <c r="U22" s="21">
        <f>SUM(G107:G118)</f>
        <v>99.96</v>
      </c>
      <c r="V22" s="60">
        <f>SUM(H107:H118)</f>
        <v>7334.7599999999984</v>
      </c>
      <c r="W22" s="60"/>
    </row>
    <row r="23" spans="2:23" ht="15" customHeight="1" x14ac:dyDescent="0.2">
      <c r="B23" s="2">
        <f t="shared" si="0"/>
        <v>13</v>
      </c>
      <c r="C23" s="5">
        <f t="shared" si="1"/>
        <v>45323</v>
      </c>
      <c r="D23" s="3">
        <f t="shared" si="2"/>
        <v>93834.189999999988</v>
      </c>
      <c r="E23" s="3">
        <f t="shared" si="3"/>
        <v>86.01</v>
      </c>
      <c r="F23" s="3">
        <f t="shared" si="4"/>
        <v>516.89</v>
      </c>
      <c r="G23" s="3">
        <f t="shared" si="5"/>
        <v>8.33</v>
      </c>
      <c r="H23" s="3">
        <f t="shared" si="6"/>
        <v>611.23</v>
      </c>
      <c r="J23" s="3"/>
      <c r="K23" s="3"/>
      <c r="S23" s="18">
        <v>10</v>
      </c>
      <c r="T23" s="21">
        <f>SUM(E119:E130)</f>
        <v>427.63000000000011</v>
      </c>
      <c r="U23" s="21">
        <f>SUM(G119:G130)</f>
        <v>99.96</v>
      </c>
      <c r="V23" s="60">
        <f>SUM(H119:H130)</f>
        <v>7334.7599999999984</v>
      </c>
      <c r="W23" s="60"/>
    </row>
    <row r="24" spans="2:23" ht="15" customHeight="1" x14ac:dyDescent="0.2">
      <c r="B24" s="2">
        <f t="shared" si="0"/>
        <v>14</v>
      </c>
      <c r="C24" s="5">
        <f t="shared" si="1"/>
        <v>45352</v>
      </c>
      <c r="D24" s="3">
        <f t="shared" si="2"/>
        <v>93317.299999999988</v>
      </c>
      <c r="E24" s="3">
        <f t="shared" si="3"/>
        <v>85.54</v>
      </c>
      <c r="F24" s="3">
        <f t="shared" si="4"/>
        <v>517.36</v>
      </c>
      <c r="G24" s="3">
        <f t="shared" si="5"/>
        <v>8.33</v>
      </c>
      <c r="H24" s="3">
        <f t="shared" si="6"/>
        <v>611.23</v>
      </c>
      <c r="J24" s="3"/>
      <c r="K24" s="3"/>
      <c r="L24" s="3"/>
      <c r="S24" s="19">
        <v>11</v>
      </c>
      <c r="T24" s="21">
        <f>SUM(E131:E142)</f>
        <v>352.37</v>
      </c>
      <c r="U24" s="21">
        <f>SUM(G131:G142)</f>
        <v>99.96</v>
      </c>
      <c r="V24" s="60">
        <f>SUM(H131:H142)</f>
        <v>7334.7599999999984</v>
      </c>
      <c r="W24" s="60"/>
    </row>
    <row r="25" spans="2:23" ht="15" customHeight="1" x14ac:dyDescent="0.2">
      <c r="B25" s="2">
        <f t="shared" si="0"/>
        <v>15</v>
      </c>
      <c r="C25" s="5">
        <f t="shared" si="1"/>
        <v>45383</v>
      </c>
      <c r="D25" s="3">
        <f t="shared" si="2"/>
        <v>92799.939999999988</v>
      </c>
      <c r="E25" s="3">
        <f t="shared" si="3"/>
        <v>85.07</v>
      </c>
      <c r="F25" s="3">
        <f t="shared" si="4"/>
        <v>517.82999999999993</v>
      </c>
      <c r="G25" s="3">
        <f t="shared" si="5"/>
        <v>8.33</v>
      </c>
      <c r="H25" s="3">
        <f t="shared" si="6"/>
        <v>611.2299999999999</v>
      </c>
      <c r="J25" s="3"/>
      <c r="K25" s="3"/>
      <c r="L25" s="3"/>
      <c r="S25" s="19">
        <v>12</v>
      </c>
      <c r="T25" s="21">
        <f>SUM(E143:E154)</f>
        <v>276.27</v>
      </c>
      <c r="U25" s="21">
        <f>SUM(G143:G154)</f>
        <v>99.96</v>
      </c>
      <c r="V25" s="60">
        <f>SUM(H143:H154)</f>
        <v>7334.7599999999984</v>
      </c>
      <c r="W25" s="60"/>
    </row>
    <row r="26" spans="2:23" ht="15" customHeight="1" x14ac:dyDescent="0.2">
      <c r="B26" s="2">
        <f t="shared" si="0"/>
        <v>16</v>
      </c>
      <c r="C26" s="5">
        <f t="shared" si="1"/>
        <v>45413</v>
      </c>
      <c r="D26" s="3">
        <f t="shared" si="2"/>
        <v>92282.109999999986</v>
      </c>
      <c r="E26" s="3">
        <f t="shared" si="3"/>
        <v>84.59</v>
      </c>
      <c r="F26" s="3">
        <f t="shared" si="4"/>
        <v>518.30999999999995</v>
      </c>
      <c r="G26" s="3">
        <f t="shared" si="5"/>
        <v>8.33</v>
      </c>
      <c r="H26" s="3">
        <f t="shared" si="6"/>
        <v>611.23</v>
      </c>
      <c r="J26" s="3"/>
      <c r="K26" s="3"/>
      <c r="L26" s="3"/>
      <c r="S26" s="19">
        <v>13</v>
      </c>
      <c r="T26" s="21">
        <f>SUM(E155:E166)</f>
        <v>199.34</v>
      </c>
      <c r="U26" s="21">
        <f>SUM(G155:G166)</f>
        <v>99.96</v>
      </c>
      <c r="V26" s="60">
        <f>SUM(H155:H166)</f>
        <v>7334.7599999999984</v>
      </c>
      <c r="W26" s="60"/>
    </row>
    <row r="27" spans="2:23" ht="15" customHeight="1" x14ac:dyDescent="0.2">
      <c r="B27" s="2">
        <f t="shared" si="0"/>
        <v>17</v>
      </c>
      <c r="C27" s="5">
        <f t="shared" si="1"/>
        <v>45444</v>
      </c>
      <c r="D27" s="3">
        <f t="shared" si="2"/>
        <v>91763.799999999988</v>
      </c>
      <c r="E27" s="3">
        <f t="shared" si="3"/>
        <v>84.12</v>
      </c>
      <c r="F27" s="3">
        <f t="shared" si="4"/>
        <v>518.78</v>
      </c>
      <c r="G27" s="3">
        <f t="shared" si="5"/>
        <v>8.33</v>
      </c>
      <c r="H27" s="3">
        <f t="shared" si="6"/>
        <v>611.23</v>
      </c>
      <c r="J27" s="3"/>
      <c r="K27" s="3"/>
      <c r="L27" s="3"/>
      <c r="S27" s="19">
        <v>14</v>
      </c>
      <c r="T27" s="21">
        <f>SUM(E167:E178)</f>
        <v>121.56000000000002</v>
      </c>
      <c r="U27" s="21">
        <f>SUM(G167:G178)</f>
        <v>99.96</v>
      </c>
      <c r="V27" s="60">
        <f>SUM(H167:H178)</f>
        <v>7334.7599999999984</v>
      </c>
      <c r="W27" s="60"/>
    </row>
    <row r="28" spans="2:23" ht="15" customHeight="1" x14ac:dyDescent="0.2">
      <c r="B28" s="2">
        <f t="shared" si="0"/>
        <v>18</v>
      </c>
      <c r="C28" s="5">
        <f t="shared" si="1"/>
        <v>45474</v>
      </c>
      <c r="D28" s="3">
        <f t="shared" si="2"/>
        <v>91245.01999999999</v>
      </c>
      <c r="E28" s="3">
        <f t="shared" si="3"/>
        <v>83.64</v>
      </c>
      <c r="F28" s="3">
        <f t="shared" si="4"/>
        <v>519.26</v>
      </c>
      <c r="G28" s="3">
        <f t="shared" si="5"/>
        <v>8.33</v>
      </c>
      <c r="H28" s="3">
        <f t="shared" si="6"/>
        <v>611.23</v>
      </c>
      <c r="J28" s="3"/>
      <c r="K28" s="3"/>
      <c r="L28" s="3"/>
      <c r="S28" s="19">
        <v>15</v>
      </c>
      <c r="T28" s="21">
        <f>SUM(E179:E190)</f>
        <v>42.93</v>
      </c>
      <c r="U28" s="21">
        <f>SUM(G179:G190)</f>
        <v>99.96</v>
      </c>
      <c r="V28" s="60">
        <f>SUM(H179:H190)</f>
        <v>7335.239999999998</v>
      </c>
      <c r="W28" s="60"/>
    </row>
    <row r="29" spans="2:23" x14ac:dyDescent="0.2">
      <c r="B29" s="2">
        <f t="shared" si="0"/>
        <v>19</v>
      </c>
      <c r="C29" s="5">
        <f t="shared" si="1"/>
        <v>45505</v>
      </c>
      <c r="D29" s="3">
        <f t="shared" si="2"/>
        <v>90725.759999999995</v>
      </c>
      <c r="E29" s="3">
        <f t="shared" si="3"/>
        <v>83.17</v>
      </c>
      <c r="F29" s="3">
        <f t="shared" si="4"/>
        <v>519.73</v>
      </c>
      <c r="G29" s="3">
        <f t="shared" si="5"/>
        <v>8.33</v>
      </c>
      <c r="H29" s="3">
        <f t="shared" si="6"/>
        <v>611.23</v>
      </c>
      <c r="J29" s="3"/>
      <c r="K29" s="3"/>
      <c r="L29" s="3"/>
      <c r="S29" s="19"/>
      <c r="T29" s="17"/>
      <c r="U29" s="17"/>
      <c r="V29" s="17"/>
      <c r="W29" s="17"/>
    </row>
    <row r="30" spans="2:23" x14ac:dyDescent="0.2">
      <c r="B30" s="2">
        <f t="shared" si="0"/>
        <v>20</v>
      </c>
      <c r="C30" s="5">
        <f t="shared" si="1"/>
        <v>45536</v>
      </c>
      <c r="D30" s="3">
        <f t="shared" si="2"/>
        <v>90206.03</v>
      </c>
      <c r="E30" s="3">
        <f t="shared" si="3"/>
        <v>82.69</v>
      </c>
      <c r="F30" s="3">
        <f t="shared" si="4"/>
        <v>520.21</v>
      </c>
      <c r="G30" s="3">
        <f t="shared" si="5"/>
        <v>8.33</v>
      </c>
      <c r="H30" s="3">
        <f t="shared" si="6"/>
        <v>611.23000000000013</v>
      </c>
      <c r="J30" s="3"/>
      <c r="K30" s="3"/>
      <c r="L30" s="3"/>
      <c r="S30" s="16"/>
    </row>
    <row r="31" spans="2:23" x14ac:dyDescent="0.2">
      <c r="B31" s="2">
        <f t="shared" si="0"/>
        <v>21</v>
      </c>
      <c r="C31" s="5">
        <f t="shared" si="1"/>
        <v>45566</v>
      </c>
      <c r="D31" s="3">
        <f t="shared" si="2"/>
        <v>89685.819999999992</v>
      </c>
      <c r="E31" s="3">
        <f t="shared" si="3"/>
        <v>82.21</v>
      </c>
      <c r="F31" s="3">
        <f t="shared" si="4"/>
        <v>520.68999999999994</v>
      </c>
      <c r="G31" s="3">
        <f t="shared" si="5"/>
        <v>8.33</v>
      </c>
      <c r="H31" s="3">
        <f t="shared" si="6"/>
        <v>611.23</v>
      </c>
      <c r="J31" s="3"/>
      <c r="K31" s="3"/>
      <c r="L31" s="3"/>
      <c r="S31" s="16"/>
    </row>
    <row r="32" spans="2:23" x14ac:dyDescent="0.2">
      <c r="B32" s="2">
        <f t="shared" si="0"/>
        <v>22</v>
      </c>
      <c r="C32" s="5">
        <f t="shared" si="1"/>
        <v>45597</v>
      </c>
      <c r="D32" s="3">
        <f t="shared" si="2"/>
        <v>89165.12999999999</v>
      </c>
      <c r="E32" s="3">
        <f t="shared" si="3"/>
        <v>81.73</v>
      </c>
      <c r="F32" s="3">
        <f t="shared" si="4"/>
        <v>521.16999999999996</v>
      </c>
      <c r="G32" s="3">
        <f t="shared" si="5"/>
        <v>8.33</v>
      </c>
      <c r="H32" s="3">
        <f t="shared" si="6"/>
        <v>611.23</v>
      </c>
      <c r="J32" s="3"/>
      <c r="K32" s="3"/>
      <c r="L32" s="3"/>
      <c r="S32" s="16"/>
    </row>
    <row r="33" spans="2:19" x14ac:dyDescent="0.2">
      <c r="B33" s="2">
        <f t="shared" si="0"/>
        <v>23</v>
      </c>
      <c r="C33" s="5">
        <f t="shared" si="1"/>
        <v>45627</v>
      </c>
      <c r="D33" s="3">
        <f t="shared" si="2"/>
        <v>88643.959999999992</v>
      </c>
      <c r="E33" s="3">
        <f t="shared" si="3"/>
        <v>81.260000000000005</v>
      </c>
      <c r="F33" s="3">
        <f t="shared" si="4"/>
        <v>521.64</v>
      </c>
      <c r="G33" s="3">
        <f t="shared" si="5"/>
        <v>8.33</v>
      </c>
      <c r="H33" s="3">
        <f t="shared" si="6"/>
        <v>611.23</v>
      </c>
      <c r="J33" s="3"/>
      <c r="K33" s="3"/>
      <c r="L33" s="3"/>
      <c r="S33" s="16"/>
    </row>
    <row r="34" spans="2:19" x14ac:dyDescent="0.2">
      <c r="B34" s="2">
        <f t="shared" si="0"/>
        <v>24</v>
      </c>
      <c r="C34" s="5">
        <f t="shared" si="1"/>
        <v>45658</v>
      </c>
      <c r="D34" s="3">
        <f t="shared" si="2"/>
        <v>88122.319999999992</v>
      </c>
      <c r="E34" s="3">
        <f t="shared" si="3"/>
        <v>80.78</v>
      </c>
      <c r="F34" s="3">
        <f t="shared" si="4"/>
        <v>522.12</v>
      </c>
      <c r="G34" s="3">
        <f t="shared" si="5"/>
        <v>8.33</v>
      </c>
      <c r="H34" s="3">
        <f t="shared" si="6"/>
        <v>611.23</v>
      </c>
      <c r="J34" s="3"/>
      <c r="K34" s="3"/>
      <c r="L34" s="3"/>
    </row>
    <row r="35" spans="2:19" x14ac:dyDescent="0.2">
      <c r="B35" s="2">
        <f t="shared" si="0"/>
        <v>25</v>
      </c>
      <c r="C35" s="5">
        <f t="shared" si="1"/>
        <v>45689</v>
      </c>
      <c r="D35" s="3">
        <f t="shared" si="2"/>
        <v>87600.2</v>
      </c>
      <c r="E35" s="3">
        <f t="shared" si="3"/>
        <v>80.3</v>
      </c>
      <c r="F35" s="3">
        <f t="shared" si="4"/>
        <v>522.6</v>
      </c>
      <c r="G35" s="3">
        <f t="shared" si="5"/>
        <v>8.33</v>
      </c>
      <c r="H35" s="3">
        <f t="shared" si="6"/>
        <v>611.23</v>
      </c>
      <c r="J35" s="3"/>
      <c r="K35" s="3"/>
      <c r="L35" s="3"/>
    </row>
    <row r="36" spans="2:19" x14ac:dyDescent="0.2">
      <c r="B36" s="2">
        <f t="shared" si="0"/>
        <v>26</v>
      </c>
      <c r="C36" s="5">
        <f t="shared" si="1"/>
        <v>45717</v>
      </c>
      <c r="D36" s="3">
        <f t="shared" si="2"/>
        <v>87077.599999999991</v>
      </c>
      <c r="E36" s="3">
        <f t="shared" si="3"/>
        <v>79.819999999999993</v>
      </c>
      <c r="F36" s="3">
        <f t="shared" si="4"/>
        <v>523.07999999999993</v>
      </c>
      <c r="G36" s="3">
        <f t="shared" si="5"/>
        <v>8.33</v>
      </c>
      <c r="H36" s="3">
        <f t="shared" si="6"/>
        <v>611.2299999999999</v>
      </c>
      <c r="J36" s="3"/>
      <c r="K36" s="3"/>
      <c r="L36" s="3"/>
    </row>
    <row r="37" spans="2:19" x14ac:dyDescent="0.2">
      <c r="B37" s="2">
        <f t="shared" si="0"/>
        <v>27</v>
      </c>
      <c r="C37" s="5">
        <f t="shared" si="1"/>
        <v>45748</v>
      </c>
      <c r="D37" s="3">
        <f t="shared" si="2"/>
        <v>86554.51999999999</v>
      </c>
      <c r="E37" s="3">
        <f t="shared" si="3"/>
        <v>79.34</v>
      </c>
      <c r="F37" s="3">
        <f t="shared" si="4"/>
        <v>523.55999999999995</v>
      </c>
      <c r="G37" s="3">
        <f t="shared" si="5"/>
        <v>8.33</v>
      </c>
      <c r="H37" s="3">
        <f t="shared" si="6"/>
        <v>611.23</v>
      </c>
      <c r="J37" s="3"/>
      <c r="K37" s="3"/>
      <c r="L37" s="3"/>
    </row>
    <row r="38" spans="2:19" x14ac:dyDescent="0.2">
      <c r="B38" s="2">
        <f t="shared" si="0"/>
        <v>28</v>
      </c>
      <c r="C38" s="5">
        <f t="shared" si="1"/>
        <v>45778</v>
      </c>
      <c r="D38" s="3">
        <f t="shared" si="2"/>
        <v>86030.959999999992</v>
      </c>
      <c r="E38" s="3">
        <f t="shared" si="3"/>
        <v>78.86</v>
      </c>
      <c r="F38" s="3">
        <f t="shared" si="4"/>
        <v>524.04</v>
      </c>
      <c r="G38" s="3">
        <f t="shared" si="5"/>
        <v>8.33</v>
      </c>
      <c r="H38" s="3">
        <f t="shared" si="6"/>
        <v>611.23</v>
      </c>
      <c r="J38" s="3"/>
      <c r="K38" s="3"/>
      <c r="L38" s="3"/>
    </row>
    <row r="39" spans="2:19" x14ac:dyDescent="0.2">
      <c r="B39" s="2">
        <f t="shared" si="0"/>
        <v>29</v>
      </c>
      <c r="C39" s="5">
        <f t="shared" si="1"/>
        <v>45809</v>
      </c>
      <c r="D39" s="3">
        <f t="shared" si="2"/>
        <v>85506.92</v>
      </c>
      <c r="E39" s="3">
        <f t="shared" si="3"/>
        <v>78.38</v>
      </c>
      <c r="F39" s="3">
        <f t="shared" si="4"/>
        <v>524.52</v>
      </c>
      <c r="G39" s="3">
        <f t="shared" si="5"/>
        <v>8.33</v>
      </c>
      <c r="H39" s="3">
        <f t="shared" si="6"/>
        <v>611.23</v>
      </c>
      <c r="J39" s="3"/>
      <c r="K39" s="3"/>
      <c r="L39" s="3"/>
    </row>
    <row r="40" spans="2:19" x14ac:dyDescent="0.2">
      <c r="B40" s="2">
        <f t="shared" si="0"/>
        <v>30</v>
      </c>
      <c r="C40" s="5">
        <f t="shared" si="1"/>
        <v>45839</v>
      </c>
      <c r="D40" s="3">
        <f t="shared" si="2"/>
        <v>84982.399999999994</v>
      </c>
      <c r="E40" s="3">
        <f t="shared" si="3"/>
        <v>77.900000000000006</v>
      </c>
      <c r="F40" s="3">
        <f t="shared" si="4"/>
        <v>525</v>
      </c>
      <c r="G40" s="3">
        <f t="shared" si="5"/>
        <v>8.33</v>
      </c>
      <c r="H40" s="3">
        <f t="shared" si="6"/>
        <v>611.23</v>
      </c>
      <c r="J40" s="3"/>
      <c r="K40" s="3"/>
      <c r="L40" s="3"/>
    </row>
    <row r="41" spans="2:19" x14ac:dyDescent="0.2">
      <c r="B41" s="2">
        <f t="shared" si="0"/>
        <v>31</v>
      </c>
      <c r="C41" s="5">
        <f t="shared" si="1"/>
        <v>45870</v>
      </c>
      <c r="D41" s="3">
        <f t="shared" si="2"/>
        <v>84457.4</v>
      </c>
      <c r="E41" s="3">
        <f t="shared" si="3"/>
        <v>77.42</v>
      </c>
      <c r="F41" s="3">
        <f t="shared" si="4"/>
        <v>525.48</v>
      </c>
      <c r="G41" s="3">
        <f t="shared" si="5"/>
        <v>8.33</v>
      </c>
      <c r="H41" s="3">
        <f t="shared" si="6"/>
        <v>611.23</v>
      </c>
      <c r="J41" s="3"/>
      <c r="K41" s="3"/>
      <c r="L41" s="3"/>
    </row>
    <row r="42" spans="2:19" x14ac:dyDescent="0.2">
      <c r="B42" s="2">
        <f t="shared" si="0"/>
        <v>32</v>
      </c>
      <c r="C42" s="5">
        <f t="shared" si="1"/>
        <v>45901</v>
      </c>
      <c r="D42" s="3">
        <f t="shared" si="2"/>
        <v>83931.92</v>
      </c>
      <c r="E42" s="3">
        <f t="shared" si="3"/>
        <v>76.94</v>
      </c>
      <c r="F42" s="3">
        <f t="shared" si="4"/>
        <v>525.96</v>
      </c>
      <c r="G42" s="3">
        <f t="shared" si="5"/>
        <v>8.33</v>
      </c>
      <c r="H42" s="3">
        <f t="shared" si="6"/>
        <v>611.23000000000013</v>
      </c>
      <c r="J42" s="3"/>
      <c r="K42" s="3"/>
      <c r="L42" s="3"/>
    </row>
    <row r="43" spans="2:19" x14ac:dyDescent="0.2">
      <c r="B43" s="2">
        <f t="shared" si="0"/>
        <v>33</v>
      </c>
      <c r="C43" s="5">
        <f t="shared" si="1"/>
        <v>45931</v>
      </c>
      <c r="D43" s="3">
        <f t="shared" si="2"/>
        <v>83405.959999999992</v>
      </c>
      <c r="E43" s="3">
        <f t="shared" si="3"/>
        <v>76.459999999999994</v>
      </c>
      <c r="F43" s="3">
        <f t="shared" si="4"/>
        <v>526.43999999999994</v>
      </c>
      <c r="G43" s="3">
        <f t="shared" si="5"/>
        <v>8.33</v>
      </c>
      <c r="H43" s="3">
        <f t="shared" si="6"/>
        <v>611.23</v>
      </c>
      <c r="J43" s="3"/>
      <c r="K43" s="3"/>
      <c r="L43" s="3"/>
    </row>
    <row r="44" spans="2:19" x14ac:dyDescent="0.2">
      <c r="B44" s="2">
        <f t="shared" si="0"/>
        <v>34</v>
      </c>
      <c r="C44" s="5">
        <f t="shared" si="1"/>
        <v>45962</v>
      </c>
      <c r="D44" s="3">
        <f t="shared" si="2"/>
        <v>82879.51999999999</v>
      </c>
      <c r="E44" s="3">
        <f t="shared" si="3"/>
        <v>75.97</v>
      </c>
      <c r="F44" s="3">
        <f t="shared" si="4"/>
        <v>526.92999999999995</v>
      </c>
      <c r="G44" s="3">
        <f t="shared" si="5"/>
        <v>8.33</v>
      </c>
      <c r="H44" s="3">
        <f t="shared" si="6"/>
        <v>611.23</v>
      </c>
      <c r="J44" s="3"/>
      <c r="K44" s="3"/>
      <c r="L44" s="3"/>
    </row>
    <row r="45" spans="2:19" x14ac:dyDescent="0.2">
      <c r="B45" s="2">
        <f t="shared" si="0"/>
        <v>35</v>
      </c>
      <c r="C45" s="5">
        <f t="shared" si="1"/>
        <v>45992</v>
      </c>
      <c r="D45" s="3">
        <f t="shared" si="2"/>
        <v>82352.59</v>
      </c>
      <c r="E45" s="3">
        <f t="shared" si="3"/>
        <v>75.489999999999995</v>
      </c>
      <c r="F45" s="3">
        <f t="shared" si="4"/>
        <v>527.41</v>
      </c>
      <c r="G45" s="3">
        <f t="shared" si="5"/>
        <v>8.33</v>
      </c>
      <c r="H45" s="3">
        <f t="shared" si="6"/>
        <v>611.23</v>
      </c>
      <c r="J45" s="3"/>
      <c r="K45" s="3"/>
      <c r="L45" s="3"/>
    </row>
    <row r="46" spans="2:19" x14ac:dyDescent="0.2">
      <c r="B46" s="2">
        <f t="shared" si="0"/>
        <v>36</v>
      </c>
      <c r="C46" s="5">
        <f t="shared" si="1"/>
        <v>46023</v>
      </c>
      <c r="D46" s="3">
        <f t="shared" si="2"/>
        <v>81825.179999999993</v>
      </c>
      <c r="E46" s="3">
        <f t="shared" si="3"/>
        <v>75.010000000000005</v>
      </c>
      <c r="F46" s="3">
        <f t="shared" si="4"/>
        <v>527.89</v>
      </c>
      <c r="G46" s="3">
        <f t="shared" si="5"/>
        <v>8.33</v>
      </c>
      <c r="H46" s="3">
        <f t="shared" si="6"/>
        <v>611.23</v>
      </c>
      <c r="J46" s="3"/>
      <c r="K46" s="3"/>
      <c r="L46" s="3"/>
    </row>
    <row r="47" spans="2:19" x14ac:dyDescent="0.2">
      <c r="B47" s="2">
        <f t="shared" si="0"/>
        <v>37</v>
      </c>
      <c r="C47" s="5">
        <f t="shared" si="1"/>
        <v>46054</v>
      </c>
      <c r="D47" s="3">
        <f t="shared" si="2"/>
        <v>81297.289999999994</v>
      </c>
      <c r="E47" s="3">
        <f t="shared" si="3"/>
        <v>74.52</v>
      </c>
      <c r="F47" s="3">
        <f t="shared" si="4"/>
        <v>528.38</v>
      </c>
      <c r="G47" s="3">
        <f t="shared" si="5"/>
        <v>8.33</v>
      </c>
      <c r="H47" s="3">
        <f t="shared" si="6"/>
        <v>611.23</v>
      </c>
      <c r="J47" s="3"/>
      <c r="K47" s="3"/>
      <c r="L47" s="3"/>
    </row>
    <row r="48" spans="2:19" x14ac:dyDescent="0.2">
      <c r="B48" s="2">
        <f t="shared" si="0"/>
        <v>38</v>
      </c>
      <c r="C48" s="5">
        <f t="shared" si="1"/>
        <v>46082</v>
      </c>
      <c r="D48" s="3">
        <f t="shared" si="2"/>
        <v>80768.909999999989</v>
      </c>
      <c r="E48" s="3">
        <f t="shared" si="3"/>
        <v>74.040000000000006</v>
      </c>
      <c r="F48" s="3">
        <f t="shared" si="4"/>
        <v>528.86</v>
      </c>
      <c r="G48" s="3">
        <f t="shared" si="5"/>
        <v>8.33</v>
      </c>
      <c r="H48" s="3">
        <f t="shared" si="6"/>
        <v>611.23</v>
      </c>
      <c r="J48" s="3"/>
      <c r="K48" s="3"/>
      <c r="L48" s="3"/>
    </row>
    <row r="49" spans="2:12" x14ac:dyDescent="0.2">
      <c r="B49" s="2">
        <f t="shared" si="0"/>
        <v>39</v>
      </c>
      <c r="C49" s="5">
        <f t="shared" si="1"/>
        <v>46113</v>
      </c>
      <c r="D49" s="3">
        <f t="shared" si="2"/>
        <v>80240.049999999988</v>
      </c>
      <c r="E49" s="3">
        <f t="shared" si="3"/>
        <v>73.55</v>
      </c>
      <c r="F49" s="3">
        <f t="shared" si="4"/>
        <v>529.35</v>
      </c>
      <c r="G49" s="3">
        <f t="shared" si="5"/>
        <v>8.33</v>
      </c>
      <c r="H49" s="3">
        <f t="shared" si="6"/>
        <v>611.23</v>
      </c>
      <c r="J49" s="3"/>
      <c r="K49" s="3"/>
      <c r="L49" s="3"/>
    </row>
    <row r="50" spans="2:12" x14ac:dyDescent="0.2">
      <c r="B50" s="2">
        <f t="shared" si="0"/>
        <v>40</v>
      </c>
      <c r="C50" s="5">
        <f t="shared" si="1"/>
        <v>46143</v>
      </c>
      <c r="D50" s="3">
        <f t="shared" si="2"/>
        <v>79710.699999999983</v>
      </c>
      <c r="E50" s="3">
        <f t="shared" si="3"/>
        <v>73.069999999999993</v>
      </c>
      <c r="F50" s="3">
        <f t="shared" si="4"/>
        <v>529.82999999999993</v>
      </c>
      <c r="G50" s="3">
        <f t="shared" si="5"/>
        <v>8.33</v>
      </c>
      <c r="H50" s="3">
        <f t="shared" si="6"/>
        <v>611.2299999999999</v>
      </c>
      <c r="J50" s="3"/>
      <c r="K50" s="3"/>
      <c r="L50" s="3"/>
    </row>
    <row r="51" spans="2:12" x14ac:dyDescent="0.2">
      <c r="B51" s="2">
        <f t="shared" si="0"/>
        <v>41</v>
      </c>
      <c r="C51" s="5">
        <f t="shared" si="1"/>
        <v>46174</v>
      </c>
      <c r="D51" s="3">
        <f t="shared" si="2"/>
        <v>79180.869999999981</v>
      </c>
      <c r="E51" s="3">
        <f t="shared" si="3"/>
        <v>72.58</v>
      </c>
      <c r="F51" s="3">
        <f t="shared" si="4"/>
        <v>530.31999999999994</v>
      </c>
      <c r="G51" s="3">
        <f t="shared" si="5"/>
        <v>8.33</v>
      </c>
      <c r="H51" s="3">
        <f t="shared" si="6"/>
        <v>611.23</v>
      </c>
      <c r="J51" s="3"/>
      <c r="K51" s="3"/>
      <c r="L51" s="3"/>
    </row>
    <row r="52" spans="2:12" x14ac:dyDescent="0.2">
      <c r="B52" s="2">
        <f t="shared" si="0"/>
        <v>42</v>
      </c>
      <c r="C52" s="5">
        <f t="shared" si="1"/>
        <v>46204</v>
      </c>
      <c r="D52" s="3">
        <f t="shared" si="2"/>
        <v>78650.549999999974</v>
      </c>
      <c r="E52" s="3">
        <f t="shared" si="3"/>
        <v>72.099999999999994</v>
      </c>
      <c r="F52" s="3">
        <f t="shared" si="4"/>
        <v>530.79999999999995</v>
      </c>
      <c r="G52" s="3">
        <f t="shared" si="5"/>
        <v>8.33</v>
      </c>
      <c r="H52" s="3">
        <f t="shared" si="6"/>
        <v>611.23</v>
      </c>
      <c r="J52" s="3"/>
      <c r="K52" s="3"/>
      <c r="L52" s="3"/>
    </row>
    <row r="53" spans="2:12" x14ac:dyDescent="0.2">
      <c r="B53" s="2">
        <f t="shared" si="0"/>
        <v>43</v>
      </c>
      <c r="C53" s="5">
        <f t="shared" si="1"/>
        <v>46235</v>
      </c>
      <c r="D53" s="3">
        <f t="shared" si="2"/>
        <v>78119.749999999971</v>
      </c>
      <c r="E53" s="3">
        <f t="shared" si="3"/>
        <v>71.61</v>
      </c>
      <c r="F53" s="3">
        <f t="shared" si="4"/>
        <v>531.29</v>
      </c>
      <c r="G53" s="3">
        <f t="shared" si="5"/>
        <v>8.33</v>
      </c>
      <c r="H53" s="3">
        <f t="shared" si="6"/>
        <v>611.23</v>
      </c>
      <c r="J53" s="3"/>
      <c r="K53" s="3"/>
      <c r="L53" s="3"/>
    </row>
    <row r="54" spans="2:12" x14ac:dyDescent="0.2">
      <c r="B54" s="2">
        <f t="shared" si="0"/>
        <v>44</v>
      </c>
      <c r="C54" s="5">
        <f t="shared" si="1"/>
        <v>46266</v>
      </c>
      <c r="D54" s="3">
        <f t="shared" si="2"/>
        <v>77588.459999999977</v>
      </c>
      <c r="E54" s="3">
        <f t="shared" si="3"/>
        <v>71.12</v>
      </c>
      <c r="F54" s="3">
        <f t="shared" si="4"/>
        <v>531.78</v>
      </c>
      <c r="G54" s="3">
        <f t="shared" si="5"/>
        <v>8.33</v>
      </c>
      <c r="H54" s="3">
        <f t="shared" si="6"/>
        <v>611.23</v>
      </c>
      <c r="J54" s="3"/>
      <c r="K54" s="3"/>
      <c r="L54" s="3"/>
    </row>
    <row r="55" spans="2:12" x14ac:dyDescent="0.2">
      <c r="B55" s="2">
        <f t="shared" si="0"/>
        <v>45</v>
      </c>
      <c r="C55" s="5">
        <f t="shared" si="1"/>
        <v>46296</v>
      </c>
      <c r="D55" s="3">
        <f t="shared" si="2"/>
        <v>77056.679999999978</v>
      </c>
      <c r="E55" s="3">
        <f t="shared" si="3"/>
        <v>70.64</v>
      </c>
      <c r="F55" s="3">
        <f t="shared" si="4"/>
        <v>532.26</v>
      </c>
      <c r="G55" s="3">
        <f t="shared" si="5"/>
        <v>8.33</v>
      </c>
      <c r="H55" s="3">
        <f t="shared" si="6"/>
        <v>611.23</v>
      </c>
      <c r="J55" s="3"/>
      <c r="K55" s="3"/>
      <c r="L55" s="3"/>
    </row>
    <row r="56" spans="2:12" x14ac:dyDescent="0.2">
      <c r="B56" s="2">
        <f t="shared" si="0"/>
        <v>46</v>
      </c>
      <c r="C56" s="5">
        <f t="shared" si="1"/>
        <v>46327</v>
      </c>
      <c r="D56" s="3">
        <f t="shared" si="2"/>
        <v>76524.419999999984</v>
      </c>
      <c r="E56" s="3">
        <f t="shared" si="3"/>
        <v>70.150000000000006</v>
      </c>
      <c r="F56" s="3">
        <f t="shared" si="4"/>
        <v>532.75</v>
      </c>
      <c r="G56" s="3">
        <f t="shared" si="5"/>
        <v>8.33</v>
      </c>
      <c r="H56" s="3">
        <f t="shared" si="6"/>
        <v>611.23</v>
      </c>
      <c r="J56" s="3"/>
      <c r="K56" s="3"/>
      <c r="L56" s="3"/>
    </row>
    <row r="57" spans="2:12" x14ac:dyDescent="0.2">
      <c r="B57" s="2">
        <f t="shared" si="0"/>
        <v>47</v>
      </c>
      <c r="C57" s="5">
        <f t="shared" si="1"/>
        <v>46357</v>
      </c>
      <c r="D57" s="3">
        <f t="shared" si="2"/>
        <v>75991.669999999984</v>
      </c>
      <c r="E57" s="3">
        <f t="shared" si="3"/>
        <v>69.66</v>
      </c>
      <c r="F57" s="3">
        <f t="shared" si="4"/>
        <v>533.24</v>
      </c>
      <c r="G57" s="3">
        <f t="shared" si="5"/>
        <v>8.33</v>
      </c>
      <c r="H57" s="3">
        <f t="shared" si="6"/>
        <v>611.23</v>
      </c>
      <c r="J57" s="3"/>
      <c r="K57" s="3"/>
      <c r="L57" s="3"/>
    </row>
    <row r="58" spans="2:12" x14ac:dyDescent="0.2">
      <c r="B58" s="2">
        <f t="shared" si="0"/>
        <v>48</v>
      </c>
      <c r="C58" s="5">
        <f t="shared" si="1"/>
        <v>46388</v>
      </c>
      <c r="D58" s="3">
        <f t="shared" si="2"/>
        <v>75458.429999999978</v>
      </c>
      <c r="E58" s="3">
        <f t="shared" si="3"/>
        <v>69.17</v>
      </c>
      <c r="F58" s="3">
        <f t="shared" si="4"/>
        <v>533.73</v>
      </c>
      <c r="G58" s="3">
        <f t="shared" si="5"/>
        <v>8.33</v>
      </c>
      <c r="H58" s="3">
        <f t="shared" si="6"/>
        <v>611.23</v>
      </c>
      <c r="J58" s="3"/>
      <c r="K58" s="3"/>
      <c r="L58" s="3"/>
    </row>
    <row r="59" spans="2:12" x14ac:dyDescent="0.2">
      <c r="B59" s="2">
        <f t="shared" si="0"/>
        <v>49</v>
      </c>
      <c r="C59" s="5">
        <f t="shared" si="1"/>
        <v>46419</v>
      </c>
      <c r="D59" s="3">
        <f t="shared" si="2"/>
        <v>74924.699999999983</v>
      </c>
      <c r="E59" s="3">
        <f t="shared" si="3"/>
        <v>68.680000000000007</v>
      </c>
      <c r="F59" s="3">
        <f t="shared" si="4"/>
        <v>534.22</v>
      </c>
      <c r="G59" s="3">
        <f t="shared" si="5"/>
        <v>8.33</v>
      </c>
      <c r="H59" s="3">
        <f t="shared" si="6"/>
        <v>611.23000000000013</v>
      </c>
      <c r="J59" s="3"/>
      <c r="K59" s="3"/>
      <c r="L59" s="3"/>
    </row>
    <row r="60" spans="2:12" x14ac:dyDescent="0.2">
      <c r="B60" s="2">
        <f t="shared" si="0"/>
        <v>50</v>
      </c>
      <c r="C60" s="5">
        <f t="shared" si="1"/>
        <v>46447</v>
      </c>
      <c r="D60" s="3">
        <f t="shared" si="2"/>
        <v>74390.479999999981</v>
      </c>
      <c r="E60" s="3">
        <f t="shared" si="3"/>
        <v>68.19</v>
      </c>
      <c r="F60" s="3">
        <f t="shared" si="4"/>
        <v>534.71</v>
      </c>
      <c r="G60" s="3">
        <f t="shared" si="5"/>
        <v>8.33</v>
      </c>
      <c r="H60" s="3">
        <f t="shared" si="6"/>
        <v>611.23000000000013</v>
      </c>
      <c r="J60" s="3"/>
      <c r="K60" s="3"/>
      <c r="L60" s="3"/>
    </row>
    <row r="61" spans="2:12" x14ac:dyDescent="0.2">
      <c r="B61" s="2">
        <f t="shared" si="0"/>
        <v>51</v>
      </c>
      <c r="C61" s="5">
        <f t="shared" si="1"/>
        <v>46478</v>
      </c>
      <c r="D61" s="3">
        <f t="shared" si="2"/>
        <v>73855.769999999975</v>
      </c>
      <c r="E61" s="3">
        <f t="shared" si="3"/>
        <v>67.7</v>
      </c>
      <c r="F61" s="3">
        <f t="shared" si="4"/>
        <v>535.19999999999993</v>
      </c>
      <c r="G61" s="3">
        <f t="shared" si="5"/>
        <v>8.33</v>
      </c>
      <c r="H61" s="3">
        <f t="shared" si="6"/>
        <v>611.23</v>
      </c>
      <c r="J61" s="3"/>
      <c r="K61" s="3"/>
      <c r="L61" s="3"/>
    </row>
    <row r="62" spans="2:12" x14ac:dyDescent="0.2">
      <c r="B62" s="2">
        <f t="shared" si="0"/>
        <v>52</v>
      </c>
      <c r="C62" s="5">
        <f t="shared" si="1"/>
        <v>46508</v>
      </c>
      <c r="D62" s="3">
        <f t="shared" si="2"/>
        <v>73320.569999999978</v>
      </c>
      <c r="E62" s="3">
        <f t="shared" si="3"/>
        <v>67.209999999999994</v>
      </c>
      <c r="F62" s="3">
        <f t="shared" si="4"/>
        <v>535.68999999999994</v>
      </c>
      <c r="G62" s="3">
        <f t="shared" si="5"/>
        <v>8.33</v>
      </c>
      <c r="H62" s="3">
        <f t="shared" si="6"/>
        <v>611.23</v>
      </c>
      <c r="J62" s="3"/>
      <c r="K62" s="3"/>
      <c r="L62" s="3"/>
    </row>
    <row r="63" spans="2:12" x14ac:dyDescent="0.2">
      <c r="B63" s="2">
        <f t="shared" si="0"/>
        <v>53</v>
      </c>
      <c r="C63" s="5">
        <f t="shared" si="1"/>
        <v>46539</v>
      </c>
      <c r="D63" s="3">
        <f t="shared" si="2"/>
        <v>72784.879999999976</v>
      </c>
      <c r="E63" s="3">
        <f t="shared" si="3"/>
        <v>66.72</v>
      </c>
      <c r="F63" s="3">
        <f t="shared" si="4"/>
        <v>536.17999999999995</v>
      </c>
      <c r="G63" s="3">
        <f t="shared" si="5"/>
        <v>8.33</v>
      </c>
      <c r="H63" s="3">
        <f t="shared" si="6"/>
        <v>611.23</v>
      </c>
      <c r="J63" s="3"/>
      <c r="K63" s="3"/>
      <c r="L63" s="3"/>
    </row>
    <row r="64" spans="2:12" x14ac:dyDescent="0.2">
      <c r="B64" s="2">
        <f t="shared" si="0"/>
        <v>54</v>
      </c>
      <c r="C64" s="5">
        <f t="shared" si="1"/>
        <v>46569</v>
      </c>
      <c r="D64" s="3">
        <f t="shared" si="2"/>
        <v>72248.699999999983</v>
      </c>
      <c r="E64" s="3">
        <f t="shared" si="3"/>
        <v>66.23</v>
      </c>
      <c r="F64" s="3">
        <f t="shared" si="4"/>
        <v>536.66999999999996</v>
      </c>
      <c r="G64" s="3">
        <f t="shared" si="5"/>
        <v>8.33</v>
      </c>
      <c r="H64" s="3">
        <f t="shared" si="6"/>
        <v>611.23</v>
      </c>
      <c r="J64" s="3"/>
      <c r="K64" s="3"/>
      <c r="L64" s="3"/>
    </row>
    <row r="65" spans="2:12" x14ac:dyDescent="0.2">
      <c r="B65" s="2">
        <f t="shared" si="0"/>
        <v>55</v>
      </c>
      <c r="C65" s="5">
        <f t="shared" si="1"/>
        <v>46600</v>
      </c>
      <c r="D65" s="3">
        <f t="shared" si="2"/>
        <v>71712.029999999984</v>
      </c>
      <c r="E65" s="3">
        <f t="shared" si="3"/>
        <v>65.739999999999995</v>
      </c>
      <c r="F65" s="3">
        <f t="shared" si="4"/>
        <v>537.16</v>
      </c>
      <c r="G65" s="3">
        <f t="shared" si="5"/>
        <v>8.33</v>
      </c>
      <c r="H65" s="3">
        <f t="shared" si="6"/>
        <v>611.23</v>
      </c>
      <c r="J65" s="3"/>
      <c r="K65" s="3"/>
      <c r="L65" s="3"/>
    </row>
    <row r="66" spans="2:12" x14ac:dyDescent="0.2">
      <c r="B66" s="2">
        <f t="shared" si="0"/>
        <v>56</v>
      </c>
      <c r="C66" s="5">
        <f t="shared" si="1"/>
        <v>46631</v>
      </c>
      <c r="D66" s="3">
        <f t="shared" si="2"/>
        <v>71174.869999999981</v>
      </c>
      <c r="E66" s="3">
        <f t="shared" si="3"/>
        <v>65.239999999999995</v>
      </c>
      <c r="F66" s="3">
        <f t="shared" si="4"/>
        <v>537.66</v>
      </c>
      <c r="G66" s="3">
        <f t="shared" si="5"/>
        <v>8.33</v>
      </c>
      <c r="H66" s="3">
        <f t="shared" si="6"/>
        <v>611.23</v>
      </c>
      <c r="J66" s="3"/>
      <c r="K66" s="3"/>
      <c r="L66" s="3"/>
    </row>
    <row r="67" spans="2:12" x14ac:dyDescent="0.2">
      <c r="B67" s="2">
        <f t="shared" si="0"/>
        <v>57</v>
      </c>
      <c r="C67" s="5">
        <f t="shared" si="1"/>
        <v>46661</v>
      </c>
      <c r="D67" s="3">
        <f t="shared" si="2"/>
        <v>70637.209999999977</v>
      </c>
      <c r="E67" s="3">
        <f t="shared" si="3"/>
        <v>64.75</v>
      </c>
      <c r="F67" s="3">
        <f t="shared" si="4"/>
        <v>538.15</v>
      </c>
      <c r="G67" s="3">
        <f t="shared" si="5"/>
        <v>8.33</v>
      </c>
      <c r="H67" s="3">
        <f t="shared" si="6"/>
        <v>611.23</v>
      </c>
      <c r="J67" s="3"/>
      <c r="K67" s="3"/>
      <c r="L67" s="3"/>
    </row>
    <row r="68" spans="2:12" x14ac:dyDescent="0.2">
      <c r="B68" s="2">
        <f t="shared" si="0"/>
        <v>58</v>
      </c>
      <c r="C68" s="5">
        <f t="shared" si="1"/>
        <v>46692</v>
      </c>
      <c r="D68" s="3">
        <f t="shared" si="2"/>
        <v>70099.059999999983</v>
      </c>
      <c r="E68" s="3">
        <f t="shared" si="3"/>
        <v>64.260000000000005</v>
      </c>
      <c r="F68" s="3">
        <f t="shared" si="4"/>
        <v>538.64</v>
      </c>
      <c r="G68" s="3">
        <f t="shared" si="5"/>
        <v>8.33</v>
      </c>
      <c r="H68" s="3">
        <f t="shared" si="6"/>
        <v>611.23</v>
      </c>
      <c r="J68" s="3"/>
      <c r="K68" s="3"/>
      <c r="L68" s="3"/>
    </row>
    <row r="69" spans="2:12" x14ac:dyDescent="0.2">
      <c r="B69" s="2">
        <f t="shared" si="0"/>
        <v>59</v>
      </c>
      <c r="C69" s="5">
        <f t="shared" si="1"/>
        <v>46722</v>
      </c>
      <c r="D69" s="3">
        <f t="shared" si="2"/>
        <v>69560.419999999984</v>
      </c>
      <c r="E69" s="3">
        <f t="shared" si="3"/>
        <v>63.76</v>
      </c>
      <c r="F69" s="3">
        <f t="shared" si="4"/>
        <v>539.14</v>
      </c>
      <c r="G69" s="3">
        <f t="shared" si="5"/>
        <v>8.33</v>
      </c>
      <c r="H69" s="3">
        <f t="shared" si="6"/>
        <v>611.23</v>
      </c>
      <c r="J69" s="3"/>
      <c r="K69" s="3"/>
      <c r="L69" s="3"/>
    </row>
    <row r="70" spans="2:12" x14ac:dyDescent="0.2">
      <c r="B70" s="2">
        <f t="shared" si="0"/>
        <v>60</v>
      </c>
      <c r="C70" s="5">
        <f t="shared" si="1"/>
        <v>46753</v>
      </c>
      <c r="D70" s="3">
        <f t="shared" si="2"/>
        <v>69021.279999999984</v>
      </c>
      <c r="E70" s="3">
        <f t="shared" si="3"/>
        <v>63.27</v>
      </c>
      <c r="F70" s="3">
        <f t="shared" si="4"/>
        <v>539.63</v>
      </c>
      <c r="G70" s="3">
        <f t="shared" si="5"/>
        <v>8.33</v>
      </c>
      <c r="H70" s="3">
        <f t="shared" si="6"/>
        <v>611.23</v>
      </c>
      <c r="J70" s="3"/>
      <c r="K70" s="3"/>
      <c r="L70" s="3"/>
    </row>
    <row r="71" spans="2:12" x14ac:dyDescent="0.2">
      <c r="B71" s="2">
        <f t="shared" si="0"/>
        <v>61</v>
      </c>
      <c r="C71" s="5">
        <f t="shared" si="1"/>
        <v>46784</v>
      </c>
      <c r="D71" s="3">
        <f t="shared" si="2"/>
        <v>68481.64999999998</v>
      </c>
      <c r="E71" s="3">
        <f t="shared" si="3"/>
        <v>62.77</v>
      </c>
      <c r="F71" s="3">
        <f t="shared" si="4"/>
        <v>540.13</v>
      </c>
      <c r="G71" s="3">
        <f t="shared" si="5"/>
        <v>8.33</v>
      </c>
      <c r="H71" s="3">
        <f t="shared" si="6"/>
        <v>611.23</v>
      </c>
      <c r="J71" s="3"/>
      <c r="K71" s="3"/>
      <c r="L71" s="3"/>
    </row>
    <row r="72" spans="2:12" x14ac:dyDescent="0.2">
      <c r="B72" s="2">
        <f t="shared" si="0"/>
        <v>62</v>
      </c>
      <c r="C72" s="5">
        <f t="shared" si="1"/>
        <v>46813</v>
      </c>
      <c r="D72" s="3">
        <f t="shared" si="2"/>
        <v>67941.519999999975</v>
      </c>
      <c r="E72" s="3">
        <f t="shared" si="3"/>
        <v>62.28</v>
      </c>
      <c r="F72" s="3">
        <f t="shared" si="4"/>
        <v>540.62</v>
      </c>
      <c r="G72" s="3">
        <f t="shared" si="5"/>
        <v>8.33</v>
      </c>
      <c r="H72" s="3">
        <f t="shared" si="6"/>
        <v>611.23</v>
      </c>
      <c r="J72" s="3"/>
      <c r="K72" s="3"/>
      <c r="L72" s="3"/>
    </row>
    <row r="73" spans="2:12" x14ac:dyDescent="0.2">
      <c r="B73" s="2">
        <f t="shared" si="0"/>
        <v>63</v>
      </c>
      <c r="C73" s="5">
        <f t="shared" si="1"/>
        <v>46844</v>
      </c>
      <c r="D73" s="3">
        <f t="shared" si="2"/>
        <v>67400.89999999998</v>
      </c>
      <c r="E73" s="3">
        <f t="shared" si="3"/>
        <v>61.78</v>
      </c>
      <c r="F73" s="3">
        <f t="shared" si="4"/>
        <v>541.12</v>
      </c>
      <c r="G73" s="3">
        <f t="shared" si="5"/>
        <v>8.33</v>
      </c>
      <c r="H73" s="3">
        <f t="shared" si="6"/>
        <v>611.23</v>
      </c>
      <c r="J73" s="3"/>
      <c r="K73" s="3"/>
      <c r="L73" s="3"/>
    </row>
    <row r="74" spans="2:12" x14ac:dyDescent="0.2">
      <c r="B74" s="2">
        <f t="shared" si="0"/>
        <v>64</v>
      </c>
      <c r="C74" s="5">
        <f t="shared" si="1"/>
        <v>46874</v>
      </c>
      <c r="D74" s="3">
        <f t="shared" si="2"/>
        <v>66859.779999999984</v>
      </c>
      <c r="E74" s="3">
        <f t="shared" si="3"/>
        <v>61.29</v>
      </c>
      <c r="F74" s="3">
        <f t="shared" si="4"/>
        <v>541.61</v>
      </c>
      <c r="G74" s="3">
        <f t="shared" si="5"/>
        <v>8.33</v>
      </c>
      <c r="H74" s="3">
        <f t="shared" si="6"/>
        <v>611.23</v>
      </c>
      <c r="J74" s="3"/>
      <c r="K74" s="3"/>
      <c r="L74" s="3"/>
    </row>
    <row r="75" spans="2:12" x14ac:dyDescent="0.2">
      <c r="B75" s="2">
        <f t="shared" ref="B75:B138" si="7">IF(B74&lt;$L$2,B74+1,"-")</f>
        <v>65</v>
      </c>
      <c r="C75" s="5">
        <f t="shared" ref="C75:C138" si="8">IF(ISNUMBER(B75),MIN(DATE(YEAR($C$10),MONTH($C$10)+B75*12/$P$4,DAY($C$10)),DATE(YEAR($C$10),MONTH($C$10)+1+B75*12/$P$4,1)-1),"")</f>
        <v>46905</v>
      </c>
      <c r="D75" s="3">
        <f t="shared" ref="D75:D138" si="9">IF(ISNUMBER(B75),D74-F74,"")</f>
        <v>66318.169999999984</v>
      </c>
      <c r="E75" s="3">
        <f t="shared" ref="E75:E138" si="10">IF(ISNUMBER(B75),ROUND(D75*$L$6,$R$5),"")</f>
        <v>60.79</v>
      </c>
      <c r="F75" s="3">
        <f t="shared" ref="F75:F138" si="11">IF(ISNUMBER(B75),IF(B75=$L$2,D75,IF(B75&gt;$L$3,$H$2-E75,0)),"")</f>
        <v>542.11</v>
      </c>
      <c r="G75" s="3">
        <f t="shared" ref="G75:G138" si="12">IF(ISNUMBER(B75),$H$3,"")</f>
        <v>8.33</v>
      </c>
      <c r="H75" s="3">
        <f t="shared" ref="H75:H138" si="13">IF(ISNUMBER(B75),E75+F75+G75,"")</f>
        <v>611.23</v>
      </c>
      <c r="J75" s="3"/>
      <c r="K75" s="3"/>
      <c r="L75" s="3"/>
    </row>
    <row r="76" spans="2:12" x14ac:dyDescent="0.2">
      <c r="B76" s="2">
        <f t="shared" si="7"/>
        <v>66</v>
      </c>
      <c r="C76" s="5">
        <f t="shared" si="8"/>
        <v>46935</v>
      </c>
      <c r="D76" s="3">
        <f t="shared" si="9"/>
        <v>65776.059999999983</v>
      </c>
      <c r="E76" s="3">
        <f t="shared" si="10"/>
        <v>60.29</v>
      </c>
      <c r="F76" s="3">
        <f t="shared" si="11"/>
        <v>542.61</v>
      </c>
      <c r="G76" s="3">
        <f t="shared" si="12"/>
        <v>8.33</v>
      </c>
      <c r="H76" s="3">
        <f t="shared" si="13"/>
        <v>611.23</v>
      </c>
      <c r="J76" s="3"/>
      <c r="K76" s="3"/>
      <c r="L76" s="3"/>
    </row>
    <row r="77" spans="2:12" x14ac:dyDescent="0.2">
      <c r="B77" s="2">
        <f t="shared" si="7"/>
        <v>67</v>
      </c>
      <c r="C77" s="5">
        <f t="shared" si="8"/>
        <v>46966</v>
      </c>
      <c r="D77" s="3">
        <f t="shared" si="9"/>
        <v>65233.449999999983</v>
      </c>
      <c r="E77" s="3">
        <f t="shared" si="10"/>
        <v>59.8</v>
      </c>
      <c r="F77" s="3">
        <f t="shared" si="11"/>
        <v>543.1</v>
      </c>
      <c r="G77" s="3">
        <f t="shared" si="12"/>
        <v>8.33</v>
      </c>
      <c r="H77" s="3">
        <f t="shared" si="13"/>
        <v>611.23</v>
      </c>
      <c r="J77" s="3"/>
      <c r="K77" s="3"/>
      <c r="L77" s="3"/>
    </row>
    <row r="78" spans="2:12" x14ac:dyDescent="0.2">
      <c r="B78" s="2">
        <f t="shared" si="7"/>
        <v>68</v>
      </c>
      <c r="C78" s="5">
        <f t="shared" si="8"/>
        <v>46997</v>
      </c>
      <c r="D78" s="3">
        <f t="shared" si="9"/>
        <v>64690.349999999984</v>
      </c>
      <c r="E78" s="3">
        <f t="shared" si="10"/>
        <v>59.3</v>
      </c>
      <c r="F78" s="3">
        <f t="shared" si="11"/>
        <v>543.6</v>
      </c>
      <c r="G78" s="3">
        <f t="shared" si="12"/>
        <v>8.33</v>
      </c>
      <c r="H78" s="3">
        <f t="shared" si="13"/>
        <v>611.23</v>
      </c>
      <c r="J78" s="3"/>
      <c r="K78" s="3"/>
      <c r="L78" s="3"/>
    </row>
    <row r="79" spans="2:12" x14ac:dyDescent="0.2">
      <c r="B79" s="2">
        <f t="shared" si="7"/>
        <v>69</v>
      </c>
      <c r="C79" s="5">
        <f t="shared" si="8"/>
        <v>47027</v>
      </c>
      <c r="D79" s="3">
        <f t="shared" si="9"/>
        <v>64146.749999999985</v>
      </c>
      <c r="E79" s="3">
        <f t="shared" si="10"/>
        <v>58.8</v>
      </c>
      <c r="F79" s="3">
        <f t="shared" si="11"/>
        <v>544.1</v>
      </c>
      <c r="G79" s="3">
        <f t="shared" si="12"/>
        <v>8.33</v>
      </c>
      <c r="H79" s="3">
        <f t="shared" si="13"/>
        <v>611.23</v>
      </c>
      <c r="J79" s="3"/>
      <c r="K79" s="3"/>
      <c r="L79" s="3"/>
    </row>
    <row r="80" spans="2:12" x14ac:dyDescent="0.2">
      <c r="B80" s="2">
        <f t="shared" si="7"/>
        <v>70</v>
      </c>
      <c r="C80" s="5">
        <f t="shared" si="8"/>
        <v>47058</v>
      </c>
      <c r="D80" s="3">
        <f t="shared" si="9"/>
        <v>63602.649999999987</v>
      </c>
      <c r="E80" s="3">
        <f t="shared" si="10"/>
        <v>58.3</v>
      </c>
      <c r="F80" s="3">
        <f t="shared" si="11"/>
        <v>544.6</v>
      </c>
      <c r="G80" s="3">
        <f t="shared" si="12"/>
        <v>8.33</v>
      </c>
      <c r="H80" s="3">
        <f t="shared" si="13"/>
        <v>611.23</v>
      </c>
      <c r="J80" s="3"/>
      <c r="K80" s="3"/>
      <c r="L80" s="3"/>
    </row>
    <row r="81" spans="2:12" x14ac:dyDescent="0.2">
      <c r="B81" s="2">
        <f t="shared" si="7"/>
        <v>71</v>
      </c>
      <c r="C81" s="5">
        <f t="shared" si="8"/>
        <v>47088</v>
      </c>
      <c r="D81" s="3">
        <f t="shared" si="9"/>
        <v>63058.049999999988</v>
      </c>
      <c r="E81" s="3">
        <f t="shared" si="10"/>
        <v>57.8</v>
      </c>
      <c r="F81" s="3">
        <f t="shared" si="11"/>
        <v>545.1</v>
      </c>
      <c r="G81" s="3">
        <f t="shared" si="12"/>
        <v>8.33</v>
      </c>
      <c r="H81" s="3">
        <f t="shared" si="13"/>
        <v>611.23</v>
      </c>
      <c r="J81" s="3"/>
      <c r="K81" s="3"/>
      <c r="L81" s="3"/>
    </row>
    <row r="82" spans="2:12" x14ac:dyDescent="0.2">
      <c r="B82" s="2">
        <f t="shared" si="7"/>
        <v>72</v>
      </c>
      <c r="C82" s="5">
        <f t="shared" si="8"/>
        <v>47119</v>
      </c>
      <c r="D82" s="3">
        <f t="shared" si="9"/>
        <v>62512.94999999999</v>
      </c>
      <c r="E82" s="3">
        <f t="shared" si="10"/>
        <v>57.3</v>
      </c>
      <c r="F82" s="3">
        <f t="shared" si="11"/>
        <v>545.6</v>
      </c>
      <c r="G82" s="3">
        <f t="shared" si="12"/>
        <v>8.33</v>
      </c>
      <c r="H82" s="3">
        <f t="shared" si="13"/>
        <v>611.23</v>
      </c>
      <c r="J82" s="3"/>
      <c r="K82" s="3"/>
      <c r="L82" s="3"/>
    </row>
    <row r="83" spans="2:12" x14ac:dyDescent="0.2">
      <c r="B83" s="2">
        <f t="shared" si="7"/>
        <v>73</v>
      </c>
      <c r="C83" s="5">
        <f t="shared" si="8"/>
        <v>47150</v>
      </c>
      <c r="D83" s="3">
        <f t="shared" si="9"/>
        <v>61967.349999999991</v>
      </c>
      <c r="E83" s="3">
        <f t="shared" si="10"/>
        <v>56.8</v>
      </c>
      <c r="F83" s="3">
        <f t="shared" si="11"/>
        <v>546.1</v>
      </c>
      <c r="G83" s="3">
        <f t="shared" si="12"/>
        <v>8.33</v>
      </c>
      <c r="H83" s="3">
        <f t="shared" si="13"/>
        <v>611.23</v>
      </c>
      <c r="J83" s="3"/>
      <c r="K83" s="3"/>
      <c r="L83" s="3"/>
    </row>
    <row r="84" spans="2:12" x14ac:dyDescent="0.2">
      <c r="B84" s="2">
        <f t="shared" si="7"/>
        <v>74</v>
      </c>
      <c r="C84" s="5">
        <f t="shared" si="8"/>
        <v>47178</v>
      </c>
      <c r="D84" s="3">
        <f t="shared" si="9"/>
        <v>61421.249999999993</v>
      </c>
      <c r="E84" s="3">
        <f t="shared" si="10"/>
        <v>56.3</v>
      </c>
      <c r="F84" s="3">
        <f t="shared" si="11"/>
        <v>546.6</v>
      </c>
      <c r="G84" s="3">
        <f t="shared" si="12"/>
        <v>8.33</v>
      </c>
      <c r="H84" s="3">
        <f t="shared" si="13"/>
        <v>611.23</v>
      </c>
      <c r="J84" s="3"/>
      <c r="K84" s="3"/>
      <c r="L84" s="3"/>
    </row>
    <row r="85" spans="2:12" x14ac:dyDescent="0.2">
      <c r="B85" s="2">
        <f t="shared" si="7"/>
        <v>75</v>
      </c>
      <c r="C85" s="5">
        <f t="shared" si="8"/>
        <v>47209</v>
      </c>
      <c r="D85" s="3">
        <f t="shared" si="9"/>
        <v>60874.649999999994</v>
      </c>
      <c r="E85" s="3">
        <f t="shared" si="10"/>
        <v>55.8</v>
      </c>
      <c r="F85" s="3">
        <f t="shared" si="11"/>
        <v>547.1</v>
      </c>
      <c r="G85" s="3">
        <f t="shared" si="12"/>
        <v>8.33</v>
      </c>
      <c r="H85" s="3">
        <f t="shared" si="13"/>
        <v>611.23</v>
      </c>
      <c r="J85" s="3"/>
      <c r="K85" s="3"/>
      <c r="L85" s="3"/>
    </row>
    <row r="86" spans="2:12" x14ac:dyDescent="0.2">
      <c r="B86" s="2">
        <f t="shared" si="7"/>
        <v>76</v>
      </c>
      <c r="C86" s="5">
        <f t="shared" si="8"/>
        <v>47239</v>
      </c>
      <c r="D86" s="3">
        <f t="shared" si="9"/>
        <v>60327.549999999996</v>
      </c>
      <c r="E86" s="3">
        <f t="shared" si="10"/>
        <v>55.3</v>
      </c>
      <c r="F86" s="3">
        <f t="shared" si="11"/>
        <v>547.6</v>
      </c>
      <c r="G86" s="3">
        <f t="shared" si="12"/>
        <v>8.33</v>
      </c>
      <c r="H86" s="3">
        <f t="shared" si="13"/>
        <v>611.23</v>
      </c>
      <c r="J86" s="3"/>
      <c r="K86" s="3"/>
      <c r="L86" s="3"/>
    </row>
    <row r="87" spans="2:12" x14ac:dyDescent="0.2">
      <c r="B87" s="2">
        <f t="shared" si="7"/>
        <v>77</v>
      </c>
      <c r="C87" s="5">
        <f t="shared" si="8"/>
        <v>47270</v>
      </c>
      <c r="D87" s="3">
        <f t="shared" si="9"/>
        <v>59779.95</v>
      </c>
      <c r="E87" s="3">
        <f t="shared" si="10"/>
        <v>54.8</v>
      </c>
      <c r="F87" s="3">
        <f t="shared" si="11"/>
        <v>548.1</v>
      </c>
      <c r="G87" s="3">
        <f t="shared" si="12"/>
        <v>8.33</v>
      </c>
      <c r="H87" s="3">
        <f t="shared" si="13"/>
        <v>611.23</v>
      </c>
      <c r="J87" s="3"/>
      <c r="K87" s="3"/>
      <c r="L87" s="3"/>
    </row>
    <row r="88" spans="2:12" x14ac:dyDescent="0.2">
      <c r="B88" s="2">
        <f t="shared" si="7"/>
        <v>78</v>
      </c>
      <c r="C88" s="5">
        <f t="shared" si="8"/>
        <v>47300</v>
      </c>
      <c r="D88" s="3">
        <f t="shared" si="9"/>
        <v>59231.85</v>
      </c>
      <c r="E88" s="3">
        <f t="shared" si="10"/>
        <v>54.3</v>
      </c>
      <c r="F88" s="3">
        <f t="shared" si="11"/>
        <v>548.6</v>
      </c>
      <c r="G88" s="3">
        <f t="shared" si="12"/>
        <v>8.33</v>
      </c>
      <c r="H88" s="3">
        <f t="shared" si="13"/>
        <v>611.23</v>
      </c>
      <c r="J88" s="3"/>
      <c r="K88" s="3"/>
      <c r="L88" s="3"/>
    </row>
    <row r="89" spans="2:12" x14ac:dyDescent="0.2">
      <c r="B89" s="2">
        <f t="shared" si="7"/>
        <v>79</v>
      </c>
      <c r="C89" s="5">
        <f t="shared" si="8"/>
        <v>47331</v>
      </c>
      <c r="D89" s="3">
        <f t="shared" si="9"/>
        <v>58683.25</v>
      </c>
      <c r="E89" s="3">
        <f t="shared" si="10"/>
        <v>53.79</v>
      </c>
      <c r="F89" s="3">
        <f t="shared" si="11"/>
        <v>549.11</v>
      </c>
      <c r="G89" s="3">
        <f t="shared" si="12"/>
        <v>8.33</v>
      </c>
      <c r="H89" s="3">
        <f t="shared" si="13"/>
        <v>611.23</v>
      </c>
      <c r="J89" s="3"/>
      <c r="K89" s="3"/>
      <c r="L89" s="3"/>
    </row>
    <row r="90" spans="2:12" x14ac:dyDescent="0.2">
      <c r="B90" s="2">
        <f t="shared" si="7"/>
        <v>80</v>
      </c>
      <c r="C90" s="5">
        <f t="shared" si="8"/>
        <v>47362</v>
      </c>
      <c r="D90" s="3">
        <f t="shared" si="9"/>
        <v>58134.14</v>
      </c>
      <c r="E90" s="3">
        <f t="shared" si="10"/>
        <v>53.29</v>
      </c>
      <c r="F90" s="3">
        <f t="shared" si="11"/>
        <v>549.61</v>
      </c>
      <c r="G90" s="3">
        <f t="shared" si="12"/>
        <v>8.33</v>
      </c>
      <c r="H90" s="3">
        <f t="shared" si="13"/>
        <v>611.23</v>
      </c>
      <c r="J90" s="3"/>
      <c r="K90" s="3"/>
      <c r="L90" s="3"/>
    </row>
    <row r="91" spans="2:12" x14ac:dyDescent="0.2">
      <c r="B91" s="2">
        <f t="shared" si="7"/>
        <v>81</v>
      </c>
      <c r="C91" s="5">
        <f t="shared" si="8"/>
        <v>47392</v>
      </c>
      <c r="D91" s="3">
        <f t="shared" si="9"/>
        <v>57584.53</v>
      </c>
      <c r="E91" s="3">
        <f t="shared" si="10"/>
        <v>52.79</v>
      </c>
      <c r="F91" s="3">
        <f t="shared" si="11"/>
        <v>550.11</v>
      </c>
      <c r="G91" s="3">
        <f t="shared" si="12"/>
        <v>8.33</v>
      </c>
      <c r="H91" s="3">
        <f t="shared" si="13"/>
        <v>611.23</v>
      </c>
      <c r="J91" s="3"/>
      <c r="K91" s="3"/>
      <c r="L91" s="3"/>
    </row>
    <row r="92" spans="2:12" x14ac:dyDescent="0.2">
      <c r="B92" s="2">
        <f t="shared" si="7"/>
        <v>82</v>
      </c>
      <c r="C92" s="5">
        <f t="shared" si="8"/>
        <v>47423</v>
      </c>
      <c r="D92" s="3">
        <f t="shared" si="9"/>
        <v>57034.42</v>
      </c>
      <c r="E92" s="3">
        <f t="shared" si="10"/>
        <v>52.28</v>
      </c>
      <c r="F92" s="3">
        <f t="shared" si="11"/>
        <v>550.62</v>
      </c>
      <c r="G92" s="3">
        <f t="shared" si="12"/>
        <v>8.33</v>
      </c>
      <c r="H92" s="3">
        <f t="shared" si="13"/>
        <v>611.23</v>
      </c>
      <c r="J92" s="3"/>
      <c r="K92" s="3"/>
      <c r="L92" s="3"/>
    </row>
    <row r="93" spans="2:12" x14ac:dyDescent="0.2">
      <c r="B93" s="2">
        <f t="shared" si="7"/>
        <v>83</v>
      </c>
      <c r="C93" s="5">
        <f t="shared" si="8"/>
        <v>47453</v>
      </c>
      <c r="D93" s="3">
        <f t="shared" si="9"/>
        <v>56483.799999999996</v>
      </c>
      <c r="E93" s="3">
        <f t="shared" si="10"/>
        <v>51.78</v>
      </c>
      <c r="F93" s="3">
        <f t="shared" si="11"/>
        <v>551.12</v>
      </c>
      <c r="G93" s="3">
        <f t="shared" si="12"/>
        <v>8.33</v>
      </c>
      <c r="H93" s="3">
        <f t="shared" si="13"/>
        <v>611.23</v>
      </c>
      <c r="J93" s="3"/>
      <c r="K93" s="3"/>
      <c r="L93" s="3"/>
    </row>
    <row r="94" spans="2:12" x14ac:dyDescent="0.2">
      <c r="B94" s="2">
        <f t="shared" si="7"/>
        <v>84</v>
      </c>
      <c r="C94" s="5">
        <f t="shared" si="8"/>
        <v>47484</v>
      </c>
      <c r="D94" s="3">
        <f t="shared" si="9"/>
        <v>55932.679999999993</v>
      </c>
      <c r="E94" s="3">
        <f t="shared" si="10"/>
        <v>51.27</v>
      </c>
      <c r="F94" s="3">
        <f t="shared" si="11"/>
        <v>551.63</v>
      </c>
      <c r="G94" s="3">
        <f t="shared" si="12"/>
        <v>8.33</v>
      </c>
      <c r="H94" s="3">
        <f t="shared" si="13"/>
        <v>611.23</v>
      </c>
      <c r="J94" s="3"/>
      <c r="K94" s="3"/>
      <c r="L94" s="3"/>
    </row>
    <row r="95" spans="2:12" x14ac:dyDescent="0.2">
      <c r="B95" s="2">
        <f t="shared" si="7"/>
        <v>85</v>
      </c>
      <c r="C95" s="5">
        <f t="shared" si="8"/>
        <v>47515</v>
      </c>
      <c r="D95" s="3">
        <f t="shared" si="9"/>
        <v>55381.049999999996</v>
      </c>
      <c r="E95" s="3">
        <f t="shared" si="10"/>
        <v>50.77</v>
      </c>
      <c r="F95" s="3">
        <f t="shared" si="11"/>
        <v>552.13</v>
      </c>
      <c r="G95" s="3">
        <f t="shared" si="12"/>
        <v>8.33</v>
      </c>
      <c r="H95" s="3">
        <f t="shared" si="13"/>
        <v>611.23</v>
      </c>
      <c r="J95" s="3"/>
      <c r="K95" s="3"/>
      <c r="L95" s="3"/>
    </row>
    <row r="96" spans="2:12" x14ac:dyDescent="0.2">
      <c r="B96" s="2">
        <f t="shared" si="7"/>
        <v>86</v>
      </c>
      <c r="C96" s="5">
        <f t="shared" si="8"/>
        <v>47543</v>
      </c>
      <c r="D96" s="3">
        <f t="shared" si="9"/>
        <v>54828.92</v>
      </c>
      <c r="E96" s="3">
        <f t="shared" si="10"/>
        <v>50.26</v>
      </c>
      <c r="F96" s="3">
        <f t="shared" si="11"/>
        <v>552.64</v>
      </c>
      <c r="G96" s="3">
        <f t="shared" si="12"/>
        <v>8.33</v>
      </c>
      <c r="H96" s="3">
        <f t="shared" si="13"/>
        <v>611.23</v>
      </c>
      <c r="J96" s="3"/>
      <c r="K96" s="3"/>
      <c r="L96" s="3"/>
    </row>
    <row r="97" spans="2:12" x14ac:dyDescent="0.2">
      <c r="B97" s="2">
        <f t="shared" si="7"/>
        <v>87</v>
      </c>
      <c r="C97" s="5">
        <f t="shared" si="8"/>
        <v>47574</v>
      </c>
      <c r="D97" s="3">
        <f t="shared" si="9"/>
        <v>54276.28</v>
      </c>
      <c r="E97" s="3">
        <f t="shared" si="10"/>
        <v>49.75</v>
      </c>
      <c r="F97" s="3">
        <f t="shared" si="11"/>
        <v>553.15</v>
      </c>
      <c r="G97" s="3">
        <f t="shared" si="12"/>
        <v>8.33</v>
      </c>
      <c r="H97" s="3">
        <f t="shared" si="13"/>
        <v>611.23</v>
      </c>
      <c r="J97" s="3"/>
      <c r="K97" s="3"/>
      <c r="L97" s="3"/>
    </row>
    <row r="98" spans="2:12" x14ac:dyDescent="0.2">
      <c r="B98" s="2">
        <f t="shared" si="7"/>
        <v>88</v>
      </c>
      <c r="C98" s="5">
        <f t="shared" si="8"/>
        <v>47604</v>
      </c>
      <c r="D98" s="3">
        <f t="shared" si="9"/>
        <v>53723.13</v>
      </c>
      <c r="E98" s="3">
        <f t="shared" si="10"/>
        <v>49.25</v>
      </c>
      <c r="F98" s="3">
        <f t="shared" si="11"/>
        <v>553.65</v>
      </c>
      <c r="G98" s="3">
        <f t="shared" si="12"/>
        <v>8.33</v>
      </c>
      <c r="H98" s="3">
        <f t="shared" si="13"/>
        <v>611.23</v>
      </c>
      <c r="J98" s="3"/>
      <c r="K98" s="3"/>
      <c r="L98" s="3"/>
    </row>
    <row r="99" spans="2:12" x14ac:dyDescent="0.2">
      <c r="B99" s="2">
        <f t="shared" si="7"/>
        <v>89</v>
      </c>
      <c r="C99" s="5">
        <f t="shared" si="8"/>
        <v>47635</v>
      </c>
      <c r="D99" s="3">
        <f t="shared" si="9"/>
        <v>53169.479999999996</v>
      </c>
      <c r="E99" s="3">
        <f t="shared" si="10"/>
        <v>48.74</v>
      </c>
      <c r="F99" s="3">
        <f t="shared" si="11"/>
        <v>554.16</v>
      </c>
      <c r="G99" s="3">
        <f t="shared" si="12"/>
        <v>8.33</v>
      </c>
      <c r="H99" s="3">
        <f t="shared" si="13"/>
        <v>611.23</v>
      </c>
      <c r="J99" s="3"/>
      <c r="K99" s="3"/>
      <c r="L99" s="3"/>
    </row>
    <row r="100" spans="2:12" x14ac:dyDescent="0.2">
      <c r="B100" s="2">
        <f t="shared" si="7"/>
        <v>90</v>
      </c>
      <c r="C100" s="5">
        <f t="shared" si="8"/>
        <v>47665</v>
      </c>
      <c r="D100" s="3">
        <f t="shared" si="9"/>
        <v>52615.319999999992</v>
      </c>
      <c r="E100" s="3">
        <f t="shared" si="10"/>
        <v>48.23</v>
      </c>
      <c r="F100" s="3">
        <f t="shared" si="11"/>
        <v>554.66999999999996</v>
      </c>
      <c r="G100" s="3">
        <f t="shared" si="12"/>
        <v>8.33</v>
      </c>
      <c r="H100" s="3">
        <f t="shared" si="13"/>
        <v>611.23</v>
      </c>
      <c r="J100" s="3"/>
      <c r="K100" s="3"/>
      <c r="L100" s="3"/>
    </row>
    <row r="101" spans="2:12" x14ac:dyDescent="0.2">
      <c r="B101" s="2">
        <f t="shared" si="7"/>
        <v>91</v>
      </c>
      <c r="C101" s="5">
        <f t="shared" si="8"/>
        <v>47696</v>
      </c>
      <c r="D101" s="3">
        <f t="shared" si="9"/>
        <v>52060.649999999994</v>
      </c>
      <c r="E101" s="3">
        <f t="shared" si="10"/>
        <v>47.72</v>
      </c>
      <c r="F101" s="3">
        <f t="shared" si="11"/>
        <v>555.17999999999995</v>
      </c>
      <c r="G101" s="3">
        <f t="shared" si="12"/>
        <v>8.33</v>
      </c>
      <c r="H101" s="3">
        <f t="shared" si="13"/>
        <v>611.23</v>
      </c>
      <c r="J101" s="3"/>
      <c r="K101" s="3"/>
      <c r="L101" s="3"/>
    </row>
    <row r="102" spans="2:12" x14ac:dyDescent="0.2">
      <c r="B102" s="2">
        <f t="shared" si="7"/>
        <v>92</v>
      </c>
      <c r="C102" s="5">
        <f t="shared" si="8"/>
        <v>47727</v>
      </c>
      <c r="D102" s="3">
        <f t="shared" si="9"/>
        <v>51505.469999999994</v>
      </c>
      <c r="E102" s="3">
        <f t="shared" si="10"/>
        <v>47.21</v>
      </c>
      <c r="F102" s="3">
        <f t="shared" si="11"/>
        <v>555.68999999999994</v>
      </c>
      <c r="G102" s="3">
        <f t="shared" si="12"/>
        <v>8.33</v>
      </c>
      <c r="H102" s="3">
        <f t="shared" si="13"/>
        <v>611.23</v>
      </c>
      <c r="J102" s="3"/>
      <c r="K102" s="3"/>
      <c r="L102" s="3"/>
    </row>
    <row r="103" spans="2:12" x14ac:dyDescent="0.2">
      <c r="B103" s="2">
        <f t="shared" si="7"/>
        <v>93</v>
      </c>
      <c r="C103" s="5">
        <f t="shared" si="8"/>
        <v>47757</v>
      </c>
      <c r="D103" s="3">
        <f t="shared" si="9"/>
        <v>50949.779999999992</v>
      </c>
      <c r="E103" s="3">
        <f t="shared" si="10"/>
        <v>46.7</v>
      </c>
      <c r="F103" s="3">
        <f t="shared" si="11"/>
        <v>556.19999999999993</v>
      </c>
      <c r="G103" s="3">
        <f t="shared" si="12"/>
        <v>8.33</v>
      </c>
      <c r="H103" s="3">
        <f t="shared" si="13"/>
        <v>611.23</v>
      </c>
      <c r="J103" s="3"/>
      <c r="K103" s="3"/>
      <c r="L103" s="3"/>
    </row>
    <row r="104" spans="2:12" x14ac:dyDescent="0.2">
      <c r="B104" s="2">
        <f t="shared" si="7"/>
        <v>94</v>
      </c>
      <c r="C104" s="5">
        <f t="shared" si="8"/>
        <v>47788</v>
      </c>
      <c r="D104" s="3">
        <f t="shared" si="9"/>
        <v>50393.579999999994</v>
      </c>
      <c r="E104" s="3">
        <f t="shared" si="10"/>
        <v>46.19</v>
      </c>
      <c r="F104" s="3">
        <f t="shared" si="11"/>
        <v>556.71</v>
      </c>
      <c r="G104" s="3">
        <f t="shared" si="12"/>
        <v>8.33</v>
      </c>
      <c r="H104" s="3">
        <f t="shared" si="13"/>
        <v>611.23000000000013</v>
      </c>
      <c r="J104" s="3"/>
      <c r="K104" s="3"/>
      <c r="L104" s="3"/>
    </row>
    <row r="105" spans="2:12" x14ac:dyDescent="0.2">
      <c r="B105" s="2">
        <f t="shared" si="7"/>
        <v>95</v>
      </c>
      <c r="C105" s="5">
        <f t="shared" si="8"/>
        <v>47818</v>
      </c>
      <c r="D105" s="3">
        <f t="shared" si="9"/>
        <v>49836.869999999995</v>
      </c>
      <c r="E105" s="3">
        <f t="shared" si="10"/>
        <v>45.68</v>
      </c>
      <c r="F105" s="3">
        <f t="shared" si="11"/>
        <v>557.22</v>
      </c>
      <c r="G105" s="3">
        <f t="shared" si="12"/>
        <v>8.33</v>
      </c>
      <c r="H105" s="3">
        <f t="shared" si="13"/>
        <v>611.23</v>
      </c>
      <c r="J105" s="3"/>
      <c r="K105" s="3"/>
      <c r="L105" s="3"/>
    </row>
    <row r="106" spans="2:12" x14ac:dyDescent="0.2">
      <c r="B106" s="2">
        <f t="shared" si="7"/>
        <v>96</v>
      </c>
      <c r="C106" s="5">
        <f t="shared" si="8"/>
        <v>47849</v>
      </c>
      <c r="D106" s="3">
        <f t="shared" si="9"/>
        <v>49279.649999999994</v>
      </c>
      <c r="E106" s="3">
        <f t="shared" si="10"/>
        <v>45.17</v>
      </c>
      <c r="F106" s="3">
        <f t="shared" si="11"/>
        <v>557.73</v>
      </c>
      <c r="G106" s="3">
        <f t="shared" si="12"/>
        <v>8.33</v>
      </c>
      <c r="H106" s="3">
        <f t="shared" si="13"/>
        <v>611.23</v>
      </c>
      <c r="J106" s="3"/>
      <c r="K106" s="3"/>
      <c r="L106" s="3"/>
    </row>
    <row r="107" spans="2:12" x14ac:dyDescent="0.2">
      <c r="B107" s="2">
        <f t="shared" si="7"/>
        <v>97</v>
      </c>
      <c r="C107" s="5">
        <f t="shared" si="8"/>
        <v>47880</v>
      </c>
      <c r="D107" s="3">
        <f t="shared" si="9"/>
        <v>48721.919999999991</v>
      </c>
      <c r="E107" s="3">
        <f t="shared" si="10"/>
        <v>44.66</v>
      </c>
      <c r="F107" s="3">
        <f t="shared" si="11"/>
        <v>558.24</v>
      </c>
      <c r="G107" s="3">
        <f t="shared" si="12"/>
        <v>8.33</v>
      </c>
      <c r="H107" s="3">
        <f t="shared" si="13"/>
        <v>611.23</v>
      </c>
      <c r="J107" s="3"/>
      <c r="K107" s="3"/>
      <c r="L107" s="3"/>
    </row>
    <row r="108" spans="2:12" x14ac:dyDescent="0.2">
      <c r="B108" s="2">
        <f t="shared" si="7"/>
        <v>98</v>
      </c>
      <c r="C108" s="5">
        <f t="shared" si="8"/>
        <v>47908</v>
      </c>
      <c r="D108" s="3">
        <f t="shared" si="9"/>
        <v>48163.679999999993</v>
      </c>
      <c r="E108" s="3">
        <f t="shared" si="10"/>
        <v>44.15</v>
      </c>
      <c r="F108" s="3">
        <f t="shared" si="11"/>
        <v>558.75</v>
      </c>
      <c r="G108" s="3">
        <f t="shared" si="12"/>
        <v>8.33</v>
      </c>
      <c r="H108" s="3">
        <f t="shared" si="13"/>
        <v>611.23</v>
      </c>
      <c r="J108" s="3"/>
      <c r="K108" s="3"/>
      <c r="L108" s="3"/>
    </row>
    <row r="109" spans="2:12" x14ac:dyDescent="0.2">
      <c r="B109" s="2">
        <f t="shared" si="7"/>
        <v>99</v>
      </c>
      <c r="C109" s="5">
        <f t="shared" si="8"/>
        <v>47939</v>
      </c>
      <c r="D109" s="3">
        <f t="shared" si="9"/>
        <v>47604.929999999993</v>
      </c>
      <c r="E109" s="3">
        <f t="shared" si="10"/>
        <v>43.64</v>
      </c>
      <c r="F109" s="3">
        <f t="shared" si="11"/>
        <v>559.26</v>
      </c>
      <c r="G109" s="3">
        <f t="shared" si="12"/>
        <v>8.33</v>
      </c>
      <c r="H109" s="3">
        <f t="shared" si="13"/>
        <v>611.23</v>
      </c>
      <c r="J109" s="3"/>
      <c r="K109" s="3"/>
      <c r="L109" s="3"/>
    </row>
    <row r="110" spans="2:12" x14ac:dyDescent="0.2">
      <c r="B110" s="2">
        <f t="shared" si="7"/>
        <v>100</v>
      </c>
      <c r="C110" s="5">
        <f t="shared" si="8"/>
        <v>47969</v>
      </c>
      <c r="D110" s="3">
        <f t="shared" si="9"/>
        <v>47045.669999999991</v>
      </c>
      <c r="E110" s="3">
        <f t="shared" si="10"/>
        <v>43.13</v>
      </c>
      <c r="F110" s="3">
        <f t="shared" si="11"/>
        <v>559.77</v>
      </c>
      <c r="G110" s="3">
        <f t="shared" si="12"/>
        <v>8.33</v>
      </c>
      <c r="H110" s="3">
        <f t="shared" si="13"/>
        <v>611.23</v>
      </c>
      <c r="J110" s="3"/>
      <c r="K110" s="3"/>
      <c r="L110" s="3"/>
    </row>
    <row r="111" spans="2:12" x14ac:dyDescent="0.2">
      <c r="B111" s="2">
        <f t="shared" si="7"/>
        <v>101</v>
      </c>
      <c r="C111" s="5">
        <f t="shared" si="8"/>
        <v>48000</v>
      </c>
      <c r="D111" s="3">
        <f t="shared" si="9"/>
        <v>46485.899999999994</v>
      </c>
      <c r="E111" s="3">
        <f t="shared" si="10"/>
        <v>42.61</v>
      </c>
      <c r="F111" s="3">
        <f t="shared" si="11"/>
        <v>560.29</v>
      </c>
      <c r="G111" s="3">
        <f t="shared" si="12"/>
        <v>8.33</v>
      </c>
      <c r="H111" s="3">
        <f t="shared" si="13"/>
        <v>611.23</v>
      </c>
      <c r="J111" s="3"/>
      <c r="K111" s="3"/>
      <c r="L111" s="3"/>
    </row>
    <row r="112" spans="2:12" x14ac:dyDescent="0.2">
      <c r="B112" s="2">
        <f t="shared" si="7"/>
        <v>102</v>
      </c>
      <c r="C112" s="5">
        <f t="shared" si="8"/>
        <v>48030</v>
      </c>
      <c r="D112" s="3">
        <f t="shared" si="9"/>
        <v>45925.609999999993</v>
      </c>
      <c r="E112" s="3">
        <f t="shared" si="10"/>
        <v>42.1</v>
      </c>
      <c r="F112" s="3">
        <f t="shared" si="11"/>
        <v>560.79999999999995</v>
      </c>
      <c r="G112" s="3">
        <f t="shared" si="12"/>
        <v>8.33</v>
      </c>
      <c r="H112" s="3">
        <f t="shared" si="13"/>
        <v>611.23</v>
      </c>
      <c r="J112" s="3"/>
      <c r="K112" s="3"/>
      <c r="L112" s="3"/>
    </row>
    <row r="113" spans="2:12" x14ac:dyDescent="0.2">
      <c r="B113" s="2">
        <f t="shared" si="7"/>
        <v>103</v>
      </c>
      <c r="C113" s="5">
        <f t="shared" si="8"/>
        <v>48061</v>
      </c>
      <c r="D113" s="3">
        <f t="shared" si="9"/>
        <v>45364.80999999999</v>
      </c>
      <c r="E113" s="3">
        <f t="shared" si="10"/>
        <v>41.58</v>
      </c>
      <c r="F113" s="3">
        <f t="shared" si="11"/>
        <v>561.31999999999994</v>
      </c>
      <c r="G113" s="3">
        <f t="shared" si="12"/>
        <v>8.33</v>
      </c>
      <c r="H113" s="3">
        <f t="shared" si="13"/>
        <v>611.23</v>
      </c>
      <c r="J113" s="3"/>
      <c r="K113" s="3"/>
      <c r="L113" s="3"/>
    </row>
    <row r="114" spans="2:12" x14ac:dyDescent="0.2">
      <c r="B114" s="2">
        <f t="shared" si="7"/>
        <v>104</v>
      </c>
      <c r="C114" s="5">
        <f t="shared" si="8"/>
        <v>48092</v>
      </c>
      <c r="D114" s="3">
        <f t="shared" si="9"/>
        <v>44803.489999999991</v>
      </c>
      <c r="E114" s="3">
        <f t="shared" si="10"/>
        <v>41.07</v>
      </c>
      <c r="F114" s="3">
        <f t="shared" si="11"/>
        <v>561.82999999999993</v>
      </c>
      <c r="G114" s="3">
        <f t="shared" si="12"/>
        <v>8.33</v>
      </c>
      <c r="H114" s="3">
        <f t="shared" si="13"/>
        <v>611.23</v>
      </c>
      <c r="J114" s="3"/>
      <c r="K114" s="3"/>
      <c r="L114" s="3"/>
    </row>
    <row r="115" spans="2:12" x14ac:dyDescent="0.2">
      <c r="B115" s="2">
        <f t="shared" si="7"/>
        <v>105</v>
      </c>
      <c r="C115" s="5">
        <f t="shared" si="8"/>
        <v>48122</v>
      </c>
      <c r="D115" s="3">
        <f t="shared" si="9"/>
        <v>44241.659999999989</v>
      </c>
      <c r="E115" s="3">
        <f t="shared" si="10"/>
        <v>40.549999999999997</v>
      </c>
      <c r="F115" s="3">
        <f t="shared" si="11"/>
        <v>562.35</v>
      </c>
      <c r="G115" s="3">
        <f t="shared" si="12"/>
        <v>8.33</v>
      </c>
      <c r="H115" s="3">
        <f t="shared" si="13"/>
        <v>611.23</v>
      </c>
      <c r="J115" s="3"/>
      <c r="K115" s="3"/>
      <c r="L115" s="3"/>
    </row>
    <row r="116" spans="2:12" x14ac:dyDescent="0.2">
      <c r="B116" s="2">
        <f t="shared" si="7"/>
        <v>106</v>
      </c>
      <c r="C116" s="5">
        <f t="shared" si="8"/>
        <v>48153</v>
      </c>
      <c r="D116" s="3">
        <f t="shared" si="9"/>
        <v>43679.30999999999</v>
      </c>
      <c r="E116" s="3">
        <f t="shared" si="10"/>
        <v>40.04</v>
      </c>
      <c r="F116" s="3">
        <f t="shared" si="11"/>
        <v>562.86</v>
      </c>
      <c r="G116" s="3">
        <f t="shared" si="12"/>
        <v>8.33</v>
      </c>
      <c r="H116" s="3">
        <f t="shared" si="13"/>
        <v>611.23</v>
      </c>
      <c r="J116" s="3"/>
      <c r="K116" s="3"/>
      <c r="L116" s="3"/>
    </row>
    <row r="117" spans="2:12" x14ac:dyDescent="0.2">
      <c r="B117" s="2">
        <f t="shared" si="7"/>
        <v>107</v>
      </c>
      <c r="C117" s="5">
        <f t="shared" si="8"/>
        <v>48183</v>
      </c>
      <c r="D117" s="3">
        <f t="shared" si="9"/>
        <v>43116.44999999999</v>
      </c>
      <c r="E117" s="3">
        <f t="shared" si="10"/>
        <v>39.520000000000003</v>
      </c>
      <c r="F117" s="3">
        <f t="shared" si="11"/>
        <v>563.38</v>
      </c>
      <c r="G117" s="3">
        <f t="shared" si="12"/>
        <v>8.33</v>
      </c>
      <c r="H117" s="3">
        <f t="shared" si="13"/>
        <v>611.23</v>
      </c>
      <c r="J117" s="3"/>
      <c r="K117" s="3"/>
      <c r="L117" s="3"/>
    </row>
    <row r="118" spans="2:12" x14ac:dyDescent="0.2">
      <c r="B118" s="2">
        <f t="shared" si="7"/>
        <v>108</v>
      </c>
      <c r="C118" s="5">
        <f t="shared" si="8"/>
        <v>48214</v>
      </c>
      <c r="D118" s="3">
        <f t="shared" si="9"/>
        <v>42553.069999999992</v>
      </c>
      <c r="E118" s="3">
        <f t="shared" si="10"/>
        <v>39.01</v>
      </c>
      <c r="F118" s="3">
        <f t="shared" si="11"/>
        <v>563.89</v>
      </c>
      <c r="G118" s="3">
        <f t="shared" si="12"/>
        <v>8.33</v>
      </c>
      <c r="H118" s="3">
        <f t="shared" si="13"/>
        <v>611.23</v>
      </c>
      <c r="J118" s="3"/>
      <c r="K118" s="3"/>
      <c r="L118" s="3"/>
    </row>
    <row r="119" spans="2:12" x14ac:dyDescent="0.2">
      <c r="B119" s="2">
        <f t="shared" si="7"/>
        <v>109</v>
      </c>
      <c r="C119" s="5">
        <f t="shared" si="8"/>
        <v>48245</v>
      </c>
      <c r="D119" s="3">
        <f t="shared" si="9"/>
        <v>41989.179999999993</v>
      </c>
      <c r="E119" s="3">
        <f t="shared" si="10"/>
        <v>38.49</v>
      </c>
      <c r="F119" s="3">
        <f t="shared" si="11"/>
        <v>564.41</v>
      </c>
      <c r="G119" s="3">
        <f t="shared" si="12"/>
        <v>8.33</v>
      </c>
      <c r="H119" s="3">
        <f t="shared" si="13"/>
        <v>611.23</v>
      </c>
      <c r="J119" s="3"/>
      <c r="K119" s="3"/>
      <c r="L119" s="3"/>
    </row>
    <row r="120" spans="2:12" x14ac:dyDescent="0.2">
      <c r="B120" s="2">
        <f t="shared" si="7"/>
        <v>110</v>
      </c>
      <c r="C120" s="5">
        <f t="shared" si="8"/>
        <v>48274</v>
      </c>
      <c r="D120" s="3">
        <f t="shared" si="9"/>
        <v>41424.76999999999</v>
      </c>
      <c r="E120" s="3">
        <f t="shared" si="10"/>
        <v>37.97</v>
      </c>
      <c r="F120" s="3">
        <f t="shared" si="11"/>
        <v>564.92999999999995</v>
      </c>
      <c r="G120" s="3">
        <f t="shared" si="12"/>
        <v>8.33</v>
      </c>
      <c r="H120" s="3">
        <f t="shared" si="13"/>
        <v>611.23</v>
      </c>
      <c r="J120" s="3"/>
      <c r="K120" s="3"/>
      <c r="L120" s="3"/>
    </row>
    <row r="121" spans="2:12" x14ac:dyDescent="0.2">
      <c r="B121" s="2">
        <f t="shared" si="7"/>
        <v>111</v>
      </c>
      <c r="C121" s="5">
        <f t="shared" si="8"/>
        <v>48305</v>
      </c>
      <c r="D121" s="3">
        <f t="shared" si="9"/>
        <v>40859.839999999989</v>
      </c>
      <c r="E121" s="3">
        <f t="shared" si="10"/>
        <v>37.450000000000003</v>
      </c>
      <c r="F121" s="3">
        <f t="shared" si="11"/>
        <v>565.44999999999993</v>
      </c>
      <c r="G121" s="3">
        <f t="shared" si="12"/>
        <v>8.33</v>
      </c>
      <c r="H121" s="3">
        <f t="shared" si="13"/>
        <v>611.23</v>
      </c>
      <c r="J121" s="3"/>
      <c r="K121" s="3"/>
      <c r="L121" s="3"/>
    </row>
    <row r="122" spans="2:12" x14ac:dyDescent="0.2">
      <c r="B122" s="2">
        <f t="shared" si="7"/>
        <v>112</v>
      </c>
      <c r="C122" s="5">
        <f t="shared" si="8"/>
        <v>48335</v>
      </c>
      <c r="D122" s="3">
        <f t="shared" si="9"/>
        <v>40294.389999999992</v>
      </c>
      <c r="E122" s="3">
        <f t="shared" si="10"/>
        <v>36.94</v>
      </c>
      <c r="F122" s="3">
        <f t="shared" si="11"/>
        <v>565.96</v>
      </c>
      <c r="G122" s="3">
        <f t="shared" si="12"/>
        <v>8.33</v>
      </c>
      <c r="H122" s="3">
        <f t="shared" si="13"/>
        <v>611.23000000000013</v>
      </c>
      <c r="J122" s="3"/>
      <c r="K122" s="3"/>
      <c r="L122" s="3"/>
    </row>
    <row r="123" spans="2:12" x14ac:dyDescent="0.2">
      <c r="B123" s="2">
        <f t="shared" si="7"/>
        <v>113</v>
      </c>
      <c r="C123" s="5">
        <f t="shared" si="8"/>
        <v>48366</v>
      </c>
      <c r="D123" s="3">
        <f t="shared" si="9"/>
        <v>39728.429999999993</v>
      </c>
      <c r="E123" s="3">
        <f t="shared" si="10"/>
        <v>36.42</v>
      </c>
      <c r="F123" s="3">
        <f t="shared" si="11"/>
        <v>566.48</v>
      </c>
      <c r="G123" s="3">
        <f t="shared" si="12"/>
        <v>8.33</v>
      </c>
      <c r="H123" s="3">
        <f t="shared" si="13"/>
        <v>611.23</v>
      </c>
      <c r="J123" s="3"/>
      <c r="K123" s="3"/>
      <c r="L123" s="3"/>
    </row>
    <row r="124" spans="2:12" x14ac:dyDescent="0.2">
      <c r="B124" s="2">
        <f t="shared" si="7"/>
        <v>114</v>
      </c>
      <c r="C124" s="5">
        <f t="shared" si="8"/>
        <v>48396</v>
      </c>
      <c r="D124" s="3">
        <f t="shared" si="9"/>
        <v>39161.94999999999</v>
      </c>
      <c r="E124" s="3">
        <f t="shared" si="10"/>
        <v>35.9</v>
      </c>
      <c r="F124" s="3">
        <f t="shared" si="11"/>
        <v>567</v>
      </c>
      <c r="G124" s="3">
        <f t="shared" si="12"/>
        <v>8.33</v>
      </c>
      <c r="H124" s="3">
        <f t="shared" si="13"/>
        <v>611.23</v>
      </c>
      <c r="J124" s="3"/>
      <c r="K124" s="3"/>
      <c r="L124" s="3"/>
    </row>
    <row r="125" spans="2:12" x14ac:dyDescent="0.2">
      <c r="B125" s="2">
        <f t="shared" si="7"/>
        <v>115</v>
      </c>
      <c r="C125" s="5">
        <f t="shared" si="8"/>
        <v>48427</v>
      </c>
      <c r="D125" s="3">
        <f t="shared" si="9"/>
        <v>38594.94999999999</v>
      </c>
      <c r="E125" s="3">
        <f t="shared" si="10"/>
        <v>35.380000000000003</v>
      </c>
      <c r="F125" s="3">
        <f t="shared" si="11"/>
        <v>567.52</v>
      </c>
      <c r="G125" s="3">
        <f t="shared" si="12"/>
        <v>8.33</v>
      </c>
      <c r="H125" s="3">
        <f t="shared" si="13"/>
        <v>611.23</v>
      </c>
      <c r="J125" s="3"/>
      <c r="K125" s="3"/>
      <c r="L125" s="3"/>
    </row>
    <row r="126" spans="2:12" x14ac:dyDescent="0.2">
      <c r="B126" s="2">
        <f t="shared" si="7"/>
        <v>116</v>
      </c>
      <c r="C126" s="5">
        <f t="shared" si="8"/>
        <v>48458</v>
      </c>
      <c r="D126" s="3">
        <f t="shared" si="9"/>
        <v>38027.429999999993</v>
      </c>
      <c r="E126" s="3">
        <f t="shared" si="10"/>
        <v>34.86</v>
      </c>
      <c r="F126" s="3">
        <f t="shared" si="11"/>
        <v>568.04</v>
      </c>
      <c r="G126" s="3">
        <f t="shared" si="12"/>
        <v>8.33</v>
      </c>
      <c r="H126" s="3">
        <f t="shared" si="13"/>
        <v>611.23</v>
      </c>
      <c r="J126" s="3"/>
      <c r="K126" s="3"/>
      <c r="L126" s="3"/>
    </row>
    <row r="127" spans="2:12" x14ac:dyDescent="0.2">
      <c r="B127" s="2">
        <f t="shared" si="7"/>
        <v>117</v>
      </c>
      <c r="C127" s="5">
        <f t="shared" si="8"/>
        <v>48488</v>
      </c>
      <c r="D127" s="3">
        <f t="shared" si="9"/>
        <v>37459.389999999992</v>
      </c>
      <c r="E127" s="3">
        <f t="shared" si="10"/>
        <v>34.340000000000003</v>
      </c>
      <c r="F127" s="3">
        <f t="shared" si="11"/>
        <v>568.55999999999995</v>
      </c>
      <c r="G127" s="3">
        <f t="shared" si="12"/>
        <v>8.33</v>
      </c>
      <c r="H127" s="3">
        <f t="shared" si="13"/>
        <v>611.23</v>
      </c>
      <c r="J127" s="3"/>
      <c r="K127" s="3"/>
      <c r="L127" s="3"/>
    </row>
    <row r="128" spans="2:12" x14ac:dyDescent="0.2">
      <c r="B128" s="2">
        <f t="shared" si="7"/>
        <v>118</v>
      </c>
      <c r="C128" s="5">
        <f t="shared" si="8"/>
        <v>48519</v>
      </c>
      <c r="D128" s="3">
        <f t="shared" si="9"/>
        <v>36890.829999999994</v>
      </c>
      <c r="E128" s="3">
        <f t="shared" si="10"/>
        <v>33.82</v>
      </c>
      <c r="F128" s="3">
        <f t="shared" si="11"/>
        <v>569.07999999999993</v>
      </c>
      <c r="G128" s="3">
        <f t="shared" si="12"/>
        <v>8.33</v>
      </c>
      <c r="H128" s="3">
        <f t="shared" si="13"/>
        <v>611.23</v>
      </c>
      <c r="J128" s="3"/>
      <c r="K128" s="3"/>
      <c r="L128" s="3"/>
    </row>
    <row r="129" spans="2:12" x14ac:dyDescent="0.2">
      <c r="B129" s="2">
        <f t="shared" si="7"/>
        <v>119</v>
      </c>
      <c r="C129" s="5">
        <f t="shared" si="8"/>
        <v>48549</v>
      </c>
      <c r="D129" s="3">
        <f t="shared" si="9"/>
        <v>36321.749999999993</v>
      </c>
      <c r="E129" s="3">
        <f t="shared" si="10"/>
        <v>33.29</v>
      </c>
      <c r="F129" s="3">
        <f t="shared" si="11"/>
        <v>569.61</v>
      </c>
      <c r="G129" s="3">
        <f t="shared" si="12"/>
        <v>8.33</v>
      </c>
      <c r="H129" s="3">
        <f t="shared" si="13"/>
        <v>611.23</v>
      </c>
      <c r="J129" s="3"/>
      <c r="K129" s="3"/>
      <c r="L129" s="3"/>
    </row>
    <row r="130" spans="2:12" x14ac:dyDescent="0.2">
      <c r="B130" s="2">
        <f t="shared" si="7"/>
        <v>120</v>
      </c>
      <c r="C130" s="5">
        <f t="shared" si="8"/>
        <v>48580</v>
      </c>
      <c r="D130" s="3">
        <f t="shared" si="9"/>
        <v>35752.139999999992</v>
      </c>
      <c r="E130" s="3">
        <f t="shared" si="10"/>
        <v>32.770000000000003</v>
      </c>
      <c r="F130" s="3">
        <f t="shared" si="11"/>
        <v>570.13</v>
      </c>
      <c r="G130" s="3">
        <f t="shared" si="12"/>
        <v>8.33</v>
      </c>
      <c r="H130" s="3">
        <f t="shared" si="13"/>
        <v>611.23</v>
      </c>
      <c r="J130" s="3"/>
      <c r="K130" s="3"/>
      <c r="L130" s="3"/>
    </row>
    <row r="131" spans="2:12" x14ac:dyDescent="0.2">
      <c r="B131" s="2">
        <f t="shared" si="7"/>
        <v>121</v>
      </c>
      <c r="C131" s="5">
        <f t="shared" si="8"/>
        <v>48611</v>
      </c>
      <c r="D131" s="3">
        <f t="shared" si="9"/>
        <v>35182.009999999995</v>
      </c>
      <c r="E131" s="3">
        <f t="shared" si="10"/>
        <v>32.25</v>
      </c>
      <c r="F131" s="3">
        <f t="shared" si="11"/>
        <v>570.65</v>
      </c>
      <c r="G131" s="3">
        <f t="shared" si="12"/>
        <v>8.33</v>
      </c>
      <c r="H131" s="3">
        <f t="shared" si="13"/>
        <v>611.23</v>
      </c>
      <c r="J131" s="3"/>
      <c r="K131" s="3"/>
      <c r="L131" s="3"/>
    </row>
    <row r="132" spans="2:12" x14ac:dyDescent="0.2">
      <c r="B132" s="2">
        <f t="shared" si="7"/>
        <v>122</v>
      </c>
      <c r="C132" s="5">
        <f t="shared" si="8"/>
        <v>48639</v>
      </c>
      <c r="D132" s="3">
        <f t="shared" si="9"/>
        <v>34611.359999999993</v>
      </c>
      <c r="E132" s="3">
        <f t="shared" si="10"/>
        <v>31.73</v>
      </c>
      <c r="F132" s="3">
        <f t="shared" si="11"/>
        <v>571.16999999999996</v>
      </c>
      <c r="G132" s="3">
        <f t="shared" si="12"/>
        <v>8.33</v>
      </c>
      <c r="H132" s="3">
        <f t="shared" si="13"/>
        <v>611.23</v>
      </c>
      <c r="J132" s="3"/>
      <c r="K132" s="3"/>
      <c r="L132" s="3"/>
    </row>
    <row r="133" spans="2:12" x14ac:dyDescent="0.2">
      <c r="B133" s="2">
        <f t="shared" si="7"/>
        <v>123</v>
      </c>
      <c r="C133" s="5">
        <f t="shared" si="8"/>
        <v>48670</v>
      </c>
      <c r="D133" s="3">
        <f t="shared" si="9"/>
        <v>34040.189999999995</v>
      </c>
      <c r="E133" s="3">
        <f t="shared" si="10"/>
        <v>31.2</v>
      </c>
      <c r="F133" s="3">
        <f t="shared" si="11"/>
        <v>571.69999999999993</v>
      </c>
      <c r="G133" s="3">
        <f t="shared" si="12"/>
        <v>8.33</v>
      </c>
      <c r="H133" s="3">
        <f t="shared" si="13"/>
        <v>611.23</v>
      </c>
      <c r="J133" s="3"/>
      <c r="K133" s="3"/>
      <c r="L133" s="3"/>
    </row>
    <row r="134" spans="2:12" x14ac:dyDescent="0.2">
      <c r="B134" s="2">
        <f t="shared" si="7"/>
        <v>124</v>
      </c>
      <c r="C134" s="5">
        <f t="shared" si="8"/>
        <v>48700</v>
      </c>
      <c r="D134" s="3">
        <f t="shared" si="9"/>
        <v>33468.49</v>
      </c>
      <c r="E134" s="3">
        <f t="shared" si="10"/>
        <v>30.68</v>
      </c>
      <c r="F134" s="3">
        <f t="shared" si="11"/>
        <v>572.22</v>
      </c>
      <c r="G134" s="3">
        <f t="shared" si="12"/>
        <v>8.33</v>
      </c>
      <c r="H134" s="3">
        <f t="shared" si="13"/>
        <v>611.23</v>
      </c>
      <c r="J134" s="3"/>
      <c r="K134" s="3"/>
      <c r="L134" s="3"/>
    </row>
    <row r="135" spans="2:12" x14ac:dyDescent="0.2">
      <c r="B135" s="2">
        <f t="shared" si="7"/>
        <v>125</v>
      </c>
      <c r="C135" s="5">
        <f t="shared" si="8"/>
        <v>48731</v>
      </c>
      <c r="D135" s="3">
        <f t="shared" si="9"/>
        <v>32896.269999999997</v>
      </c>
      <c r="E135" s="3">
        <f t="shared" si="10"/>
        <v>30.15</v>
      </c>
      <c r="F135" s="3">
        <f t="shared" si="11"/>
        <v>572.75</v>
      </c>
      <c r="G135" s="3">
        <f t="shared" si="12"/>
        <v>8.33</v>
      </c>
      <c r="H135" s="3">
        <f t="shared" si="13"/>
        <v>611.23</v>
      </c>
      <c r="J135" s="3"/>
      <c r="K135" s="3"/>
      <c r="L135" s="3"/>
    </row>
    <row r="136" spans="2:12" x14ac:dyDescent="0.2">
      <c r="B136" s="2">
        <f t="shared" si="7"/>
        <v>126</v>
      </c>
      <c r="C136" s="5">
        <f t="shared" si="8"/>
        <v>48761</v>
      </c>
      <c r="D136" s="3">
        <f t="shared" si="9"/>
        <v>32323.519999999997</v>
      </c>
      <c r="E136" s="3">
        <f t="shared" si="10"/>
        <v>29.63</v>
      </c>
      <c r="F136" s="3">
        <f t="shared" si="11"/>
        <v>573.27</v>
      </c>
      <c r="G136" s="3">
        <f t="shared" si="12"/>
        <v>8.33</v>
      </c>
      <c r="H136" s="3">
        <f t="shared" si="13"/>
        <v>611.23</v>
      </c>
      <c r="J136" s="3"/>
      <c r="K136" s="3"/>
      <c r="L136" s="3"/>
    </row>
    <row r="137" spans="2:12" x14ac:dyDescent="0.2">
      <c r="B137" s="2">
        <f t="shared" si="7"/>
        <v>127</v>
      </c>
      <c r="C137" s="5">
        <f t="shared" si="8"/>
        <v>48792</v>
      </c>
      <c r="D137" s="3">
        <f t="shared" si="9"/>
        <v>31750.249999999996</v>
      </c>
      <c r="E137" s="3">
        <f t="shared" si="10"/>
        <v>29.1</v>
      </c>
      <c r="F137" s="3">
        <f t="shared" si="11"/>
        <v>573.79999999999995</v>
      </c>
      <c r="G137" s="3">
        <f t="shared" si="12"/>
        <v>8.33</v>
      </c>
      <c r="H137" s="3">
        <f t="shared" si="13"/>
        <v>611.23</v>
      </c>
      <c r="J137" s="3"/>
      <c r="K137" s="3"/>
      <c r="L137" s="3"/>
    </row>
    <row r="138" spans="2:12" x14ac:dyDescent="0.2">
      <c r="B138" s="2">
        <f t="shared" si="7"/>
        <v>128</v>
      </c>
      <c r="C138" s="5">
        <f t="shared" si="8"/>
        <v>48823</v>
      </c>
      <c r="D138" s="3">
        <f t="shared" si="9"/>
        <v>31176.449999999997</v>
      </c>
      <c r="E138" s="3">
        <f t="shared" si="10"/>
        <v>28.58</v>
      </c>
      <c r="F138" s="3">
        <f t="shared" si="11"/>
        <v>574.31999999999994</v>
      </c>
      <c r="G138" s="3">
        <f t="shared" si="12"/>
        <v>8.33</v>
      </c>
      <c r="H138" s="3">
        <f t="shared" si="13"/>
        <v>611.23</v>
      </c>
      <c r="J138" s="3"/>
      <c r="K138" s="3"/>
      <c r="L138" s="3"/>
    </row>
    <row r="139" spans="2:12" x14ac:dyDescent="0.2">
      <c r="B139" s="2">
        <f t="shared" ref="B139:B202" si="14">IF(B138&lt;$L$2,B138+1,"-")</f>
        <v>129</v>
      </c>
      <c r="C139" s="5">
        <f t="shared" ref="C139:C202" si="15">IF(ISNUMBER(B139),MIN(DATE(YEAR($C$10),MONTH($C$10)+B139*12/$P$4,DAY($C$10)),DATE(YEAR($C$10),MONTH($C$10)+1+B139*12/$P$4,1)-1),"")</f>
        <v>48853</v>
      </c>
      <c r="D139" s="3">
        <f t="shared" ref="D139:D202" si="16">IF(ISNUMBER(B139),D138-F138,"")</f>
        <v>30602.129999999997</v>
      </c>
      <c r="E139" s="3">
        <f t="shared" ref="E139:E202" si="17">IF(ISNUMBER(B139),ROUND(D139*$L$6,$R$5),"")</f>
        <v>28.05</v>
      </c>
      <c r="F139" s="3">
        <f t="shared" ref="F139:F202" si="18">IF(ISNUMBER(B139),IF(B139=$L$2,D139,IF(B139&gt;$L$3,$H$2-E139,0)),"")</f>
        <v>574.85</v>
      </c>
      <c r="G139" s="3">
        <f t="shared" ref="G139:G202" si="19">IF(ISNUMBER(B139),$H$3,"")</f>
        <v>8.33</v>
      </c>
      <c r="H139" s="3">
        <f t="shared" ref="H139:H202" si="20">IF(ISNUMBER(B139),E139+F139+G139,"")</f>
        <v>611.23</v>
      </c>
      <c r="J139" s="3"/>
      <c r="K139" s="3"/>
      <c r="L139" s="3"/>
    </row>
    <row r="140" spans="2:12" x14ac:dyDescent="0.2">
      <c r="B140" s="2">
        <f t="shared" si="14"/>
        <v>130</v>
      </c>
      <c r="C140" s="5">
        <f t="shared" si="15"/>
        <v>48884</v>
      </c>
      <c r="D140" s="3">
        <f t="shared" si="16"/>
        <v>30027.279999999999</v>
      </c>
      <c r="E140" s="3">
        <f t="shared" si="17"/>
        <v>27.53</v>
      </c>
      <c r="F140" s="3">
        <f t="shared" si="18"/>
        <v>575.37</v>
      </c>
      <c r="G140" s="3">
        <f t="shared" si="19"/>
        <v>8.33</v>
      </c>
      <c r="H140" s="3">
        <f t="shared" si="20"/>
        <v>611.23</v>
      </c>
      <c r="J140" s="3"/>
      <c r="K140" s="3"/>
      <c r="L140" s="3"/>
    </row>
    <row r="141" spans="2:12" x14ac:dyDescent="0.2">
      <c r="B141" s="2">
        <f t="shared" si="14"/>
        <v>131</v>
      </c>
      <c r="C141" s="5">
        <f t="shared" si="15"/>
        <v>48914</v>
      </c>
      <c r="D141" s="3">
        <f t="shared" si="16"/>
        <v>29451.91</v>
      </c>
      <c r="E141" s="3">
        <f t="shared" si="17"/>
        <v>27</v>
      </c>
      <c r="F141" s="3">
        <f t="shared" si="18"/>
        <v>575.9</v>
      </c>
      <c r="G141" s="3">
        <f t="shared" si="19"/>
        <v>8.33</v>
      </c>
      <c r="H141" s="3">
        <f t="shared" si="20"/>
        <v>611.23</v>
      </c>
      <c r="J141" s="3"/>
      <c r="K141" s="3"/>
      <c r="L141" s="3"/>
    </row>
    <row r="142" spans="2:12" x14ac:dyDescent="0.2">
      <c r="B142" s="2">
        <f t="shared" si="14"/>
        <v>132</v>
      </c>
      <c r="C142" s="5">
        <f t="shared" si="15"/>
        <v>48945</v>
      </c>
      <c r="D142" s="3">
        <f t="shared" si="16"/>
        <v>28876.01</v>
      </c>
      <c r="E142" s="3">
        <f t="shared" si="17"/>
        <v>26.47</v>
      </c>
      <c r="F142" s="3">
        <f t="shared" si="18"/>
        <v>576.42999999999995</v>
      </c>
      <c r="G142" s="3">
        <f t="shared" si="19"/>
        <v>8.33</v>
      </c>
      <c r="H142" s="3">
        <f t="shared" si="20"/>
        <v>611.23</v>
      </c>
      <c r="J142" s="3"/>
      <c r="K142" s="3"/>
      <c r="L142" s="3"/>
    </row>
    <row r="143" spans="2:12" x14ac:dyDescent="0.2">
      <c r="B143" s="2">
        <f t="shared" si="14"/>
        <v>133</v>
      </c>
      <c r="C143" s="5">
        <f t="shared" si="15"/>
        <v>48976</v>
      </c>
      <c r="D143" s="3">
        <f t="shared" si="16"/>
        <v>28299.579999999998</v>
      </c>
      <c r="E143" s="3">
        <f t="shared" si="17"/>
        <v>25.94</v>
      </c>
      <c r="F143" s="3">
        <f t="shared" si="18"/>
        <v>576.95999999999992</v>
      </c>
      <c r="G143" s="3">
        <f t="shared" si="19"/>
        <v>8.33</v>
      </c>
      <c r="H143" s="3">
        <f t="shared" si="20"/>
        <v>611.23</v>
      </c>
      <c r="J143" s="3"/>
      <c r="K143" s="3"/>
      <c r="L143" s="3"/>
    </row>
    <row r="144" spans="2:12" x14ac:dyDescent="0.2">
      <c r="B144" s="2">
        <f t="shared" si="14"/>
        <v>134</v>
      </c>
      <c r="C144" s="5">
        <f t="shared" si="15"/>
        <v>49004</v>
      </c>
      <c r="D144" s="3">
        <f t="shared" si="16"/>
        <v>27722.62</v>
      </c>
      <c r="E144" s="3">
        <f t="shared" si="17"/>
        <v>25.41</v>
      </c>
      <c r="F144" s="3">
        <f t="shared" si="18"/>
        <v>577.49</v>
      </c>
      <c r="G144" s="3">
        <f t="shared" si="19"/>
        <v>8.33</v>
      </c>
      <c r="H144" s="3">
        <f t="shared" si="20"/>
        <v>611.23</v>
      </c>
      <c r="J144" s="3"/>
      <c r="K144" s="3"/>
      <c r="L144" s="3"/>
    </row>
    <row r="145" spans="2:12" x14ac:dyDescent="0.2">
      <c r="B145" s="2">
        <f t="shared" si="14"/>
        <v>135</v>
      </c>
      <c r="C145" s="5">
        <f t="shared" si="15"/>
        <v>49035</v>
      </c>
      <c r="D145" s="3">
        <f t="shared" si="16"/>
        <v>27145.129999999997</v>
      </c>
      <c r="E145" s="3">
        <f t="shared" si="17"/>
        <v>24.88</v>
      </c>
      <c r="F145" s="3">
        <f t="shared" si="18"/>
        <v>578.02</v>
      </c>
      <c r="G145" s="3">
        <f t="shared" si="19"/>
        <v>8.33</v>
      </c>
      <c r="H145" s="3">
        <f t="shared" si="20"/>
        <v>611.23</v>
      </c>
      <c r="J145" s="3"/>
      <c r="K145" s="3"/>
      <c r="L145" s="3"/>
    </row>
    <row r="146" spans="2:12" x14ac:dyDescent="0.2">
      <c r="B146" s="2">
        <f t="shared" si="14"/>
        <v>136</v>
      </c>
      <c r="C146" s="5">
        <f t="shared" si="15"/>
        <v>49065</v>
      </c>
      <c r="D146" s="3">
        <f t="shared" si="16"/>
        <v>26567.109999999997</v>
      </c>
      <c r="E146" s="3">
        <f t="shared" si="17"/>
        <v>24.35</v>
      </c>
      <c r="F146" s="3">
        <f t="shared" si="18"/>
        <v>578.54999999999995</v>
      </c>
      <c r="G146" s="3">
        <f t="shared" si="19"/>
        <v>8.33</v>
      </c>
      <c r="H146" s="3">
        <f t="shared" si="20"/>
        <v>611.23</v>
      </c>
      <c r="J146" s="3"/>
      <c r="K146" s="3"/>
      <c r="L146" s="3"/>
    </row>
    <row r="147" spans="2:12" x14ac:dyDescent="0.2">
      <c r="B147" s="2">
        <f t="shared" si="14"/>
        <v>137</v>
      </c>
      <c r="C147" s="5">
        <f t="shared" si="15"/>
        <v>49096</v>
      </c>
      <c r="D147" s="3">
        <f t="shared" si="16"/>
        <v>25988.559999999998</v>
      </c>
      <c r="E147" s="3">
        <f t="shared" si="17"/>
        <v>23.82</v>
      </c>
      <c r="F147" s="3">
        <f t="shared" si="18"/>
        <v>579.07999999999993</v>
      </c>
      <c r="G147" s="3">
        <f t="shared" si="19"/>
        <v>8.33</v>
      </c>
      <c r="H147" s="3">
        <f t="shared" si="20"/>
        <v>611.23</v>
      </c>
      <c r="J147" s="3"/>
      <c r="K147" s="3"/>
      <c r="L147" s="3"/>
    </row>
    <row r="148" spans="2:12" x14ac:dyDescent="0.2">
      <c r="B148" s="2">
        <f t="shared" si="14"/>
        <v>138</v>
      </c>
      <c r="C148" s="5">
        <f t="shared" si="15"/>
        <v>49126</v>
      </c>
      <c r="D148" s="3">
        <f t="shared" si="16"/>
        <v>25409.479999999996</v>
      </c>
      <c r="E148" s="3">
        <f t="shared" si="17"/>
        <v>23.29</v>
      </c>
      <c r="F148" s="3">
        <f t="shared" si="18"/>
        <v>579.61</v>
      </c>
      <c r="G148" s="3">
        <f t="shared" si="19"/>
        <v>8.33</v>
      </c>
      <c r="H148" s="3">
        <f t="shared" si="20"/>
        <v>611.23</v>
      </c>
      <c r="J148" s="3"/>
      <c r="K148" s="3"/>
      <c r="L148" s="3"/>
    </row>
    <row r="149" spans="2:12" x14ac:dyDescent="0.2">
      <c r="B149" s="2">
        <f t="shared" si="14"/>
        <v>139</v>
      </c>
      <c r="C149" s="5">
        <f t="shared" si="15"/>
        <v>49157</v>
      </c>
      <c r="D149" s="3">
        <f t="shared" si="16"/>
        <v>24829.869999999995</v>
      </c>
      <c r="E149" s="3">
        <f t="shared" si="17"/>
        <v>22.76</v>
      </c>
      <c r="F149" s="3">
        <f t="shared" si="18"/>
        <v>580.14</v>
      </c>
      <c r="G149" s="3">
        <f t="shared" si="19"/>
        <v>8.33</v>
      </c>
      <c r="H149" s="3">
        <f t="shared" si="20"/>
        <v>611.23</v>
      </c>
      <c r="J149" s="3"/>
      <c r="K149" s="3"/>
      <c r="L149" s="3"/>
    </row>
    <row r="150" spans="2:12" x14ac:dyDescent="0.2">
      <c r="B150" s="2">
        <f t="shared" si="14"/>
        <v>140</v>
      </c>
      <c r="C150" s="5">
        <f t="shared" si="15"/>
        <v>49188</v>
      </c>
      <c r="D150" s="3">
        <f t="shared" si="16"/>
        <v>24249.729999999996</v>
      </c>
      <c r="E150" s="3">
        <f t="shared" si="17"/>
        <v>22.23</v>
      </c>
      <c r="F150" s="3">
        <f t="shared" si="18"/>
        <v>580.66999999999996</v>
      </c>
      <c r="G150" s="3">
        <f t="shared" si="19"/>
        <v>8.33</v>
      </c>
      <c r="H150" s="3">
        <f t="shared" si="20"/>
        <v>611.23</v>
      </c>
      <c r="J150" s="3"/>
      <c r="K150" s="3"/>
      <c r="L150" s="3"/>
    </row>
    <row r="151" spans="2:12" x14ac:dyDescent="0.2">
      <c r="B151" s="2">
        <f t="shared" si="14"/>
        <v>141</v>
      </c>
      <c r="C151" s="5">
        <f t="shared" si="15"/>
        <v>49218</v>
      </c>
      <c r="D151" s="3">
        <f t="shared" si="16"/>
        <v>23669.059999999998</v>
      </c>
      <c r="E151" s="3">
        <f t="shared" si="17"/>
        <v>21.7</v>
      </c>
      <c r="F151" s="3">
        <f t="shared" si="18"/>
        <v>581.19999999999993</v>
      </c>
      <c r="G151" s="3">
        <f t="shared" si="19"/>
        <v>8.33</v>
      </c>
      <c r="H151" s="3">
        <f t="shared" si="20"/>
        <v>611.23</v>
      </c>
      <c r="J151" s="3"/>
      <c r="K151" s="3"/>
      <c r="L151" s="3"/>
    </row>
    <row r="152" spans="2:12" x14ac:dyDescent="0.2">
      <c r="B152" s="2">
        <f t="shared" si="14"/>
        <v>142</v>
      </c>
      <c r="C152" s="5">
        <f t="shared" si="15"/>
        <v>49249</v>
      </c>
      <c r="D152" s="3">
        <f t="shared" si="16"/>
        <v>23087.859999999997</v>
      </c>
      <c r="E152" s="3">
        <f t="shared" si="17"/>
        <v>21.16</v>
      </c>
      <c r="F152" s="3">
        <f t="shared" si="18"/>
        <v>581.74</v>
      </c>
      <c r="G152" s="3">
        <f t="shared" si="19"/>
        <v>8.33</v>
      </c>
      <c r="H152" s="3">
        <f t="shared" si="20"/>
        <v>611.23</v>
      </c>
      <c r="J152" s="3"/>
      <c r="K152" s="3"/>
      <c r="L152" s="3"/>
    </row>
    <row r="153" spans="2:12" x14ac:dyDescent="0.2">
      <c r="B153" s="2">
        <f t="shared" si="14"/>
        <v>143</v>
      </c>
      <c r="C153" s="5">
        <f t="shared" si="15"/>
        <v>49279</v>
      </c>
      <c r="D153" s="3">
        <f t="shared" si="16"/>
        <v>22506.119999999995</v>
      </c>
      <c r="E153" s="3">
        <f t="shared" si="17"/>
        <v>20.63</v>
      </c>
      <c r="F153" s="3">
        <f t="shared" si="18"/>
        <v>582.27</v>
      </c>
      <c r="G153" s="3">
        <f t="shared" si="19"/>
        <v>8.33</v>
      </c>
      <c r="H153" s="3">
        <f t="shared" si="20"/>
        <v>611.23</v>
      </c>
      <c r="J153" s="3"/>
      <c r="K153" s="3"/>
      <c r="L153" s="3"/>
    </row>
    <row r="154" spans="2:12" x14ac:dyDescent="0.2">
      <c r="B154" s="2">
        <f t="shared" si="14"/>
        <v>144</v>
      </c>
      <c r="C154" s="5">
        <f t="shared" si="15"/>
        <v>49310</v>
      </c>
      <c r="D154" s="3">
        <f t="shared" si="16"/>
        <v>21923.849999999995</v>
      </c>
      <c r="E154" s="3">
        <f t="shared" si="17"/>
        <v>20.100000000000001</v>
      </c>
      <c r="F154" s="3">
        <f t="shared" si="18"/>
        <v>582.79999999999995</v>
      </c>
      <c r="G154" s="3">
        <f t="shared" si="19"/>
        <v>8.33</v>
      </c>
      <c r="H154" s="3">
        <f t="shared" si="20"/>
        <v>611.23</v>
      </c>
      <c r="J154" s="3"/>
      <c r="K154" s="3"/>
      <c r="L154" s="3"/>
    </row>
    <row r="155" spans="2:12" x14ac:dyDescent="0.2">
      <c r="B155" s="2">
        <f t="shared" si="14"/>
        <v>145</v>
      </c>
      <c r="C155" s="5">
        <f t="shared" si="15"/>
        <v>49341</v>
      </c>
      <c r="D155" s="3">
        <f t="shared" si="16"/>
        <v>21341.049999999996</v>
      </c>
      <c r="E155" s="3">
        <f t="shared" si="17"/>
        <v>19.559999999999999</v>
      </c>
      <c r="F155" s="3">
        <f t="shared" si="18"/>
        <v>583.34</v>
      </c>
      <c r="G155" s="3">
        <f t="shared" si="19"/>
        <v>8.33</v>
      </c>
      <c r="H155" s="3">
        <f t="shared" si="20"/>
        <v>611.23</v>
      </c>
      <c r="J155" s="3"/>
      <c r="K155" s="3"/>
      <c r="L155" s="3"/>
    </row>
    <row r="156" spans="2:12" x14ac:dyDescent="0.2">
      <c r="B156" s="2">
        <f t="shared" si="14"/>
        <v>146</v>
      </c>
      <c r="C156" s="5">
        <f t="shared" si="15"/>
        <v>49369</v>
      </c>
      <c r="D156" s="3">
        <f t="shared" si="16"/>
        <v>20757.709999999995</v>
      </c>
      <c r="E156" s="3">
        <f t="shared" si="17"/>
        <v>19.03</v>
      </c>
      <c r="F156" s="3">
        <f t="shared" si="18"/>
        <v>583.87</v>
      </c>
      <c r="G156" s="3">
        <f t="shared" si="19"/>
        <v>8.33</v>
      </c>
      <c r="H156" s="3">
        <f t="shared" si="20"/>
        <v>611.23</v>
      </c>
      <c r="J156" s="3"/>
      <c r="K156" s="3"/>
      <c r="L156" s="3"/>
    </row>
    <row r="157" spans="2:12" x14ac:dyDescent="0.2">
      <c r="B157" s="2">
        <f t="shared" si="14"/>
        <v>147</v>
      </c>
      <c r="C157" s="5">
        <f t="shared" si="15"/>
        <v>49400</v>
      </c>
      <c r="D157" s="3">
        <f t="shared" si="16"/>
        <v>20173.839999999997</v>
      </c>
      <c r="E157" s="3">
        <f t="shared" si="17"/>
        <v>18.489999999999998</v>
      </c>
      <c r="F157" s="3">
        <f t="shared" si="18"/>
        <v>584.41</v>
      </c>
      <c r="G157" s="3">
        <f t="shared" si="19"/>
        <v>8.33</v>
      </c>
      <c r="H157" s="3">
        <f t="shared" si="20"/>
        <v>611.23</v>
      </c>
      <c r="J157" s="3"/>
      <c r="K157" s="3"/>
      <c r="L157" s="3"/>
    </row>
    <row r="158" spans="2:12" x14ac:dyDescent="0.2">
      <c r="B158" s="2">
        <f t="shared" si="14"/>
        <v>148</v>
      </c>
      <c r="C158" s="5">
        <f t="shared" si="15"/>
        <v>49430</v>
      </c>
      <c r="D158" s="3">
        <f t="shared" si="16"/>
        <v>19589.429999999997</v>
      </c>
      <c r="E158" s="3">
        <f t="shared" si="17"/>
        <v>17.96</v>
      </c>
      <c r="F158" s="3">
        <f t="shared" si="18"/>
        <v>584.93999999999994</v>
      </c>
      <c r="G158" s="3">
        <f t="shared" si="19"/>
        <v>8.33</v>
      </c>
      <c r="H158" s="3">
        <f t="shared" si="20"/>
        <v>611.23</v>
      </c>
      <c r="J158" s="3"/>
      <c r="K158" s="3"/>
      <c r="L158" s="3"/>
    </row>
    <row r="159" spans="2:12" x14ac:dyDescent="0.2">
      <c r="B159" s="2">
        <f t="shared" si="14"/>
        <v>149</v>
      </c>
      <c r="C159" s="5">
        <f t="shared" si="15"/>
        <v>49461</v>
      </c>
      <c r="D159" s="3">
        <f t="shared" si="16"/>
        <v>19004.489999999998</v>
      </c>
      <c r="E159" s="3">
        <f t="shared" si="17"/>
        <v>17.420000000000002</v>
      </c>
      <c r="F159" s="3">
        <f t="shared" si="18"/>
        <v>585.48</v>
      </c>
      <c r="G159" s="3">
        <f t="shared" si="19"/>
        <v>8.33</v>
      </c>
      <c r="H159" s="3">
        <f t="shared" si="20"/>
        <v>611.23</v>
      </c>
      <c r="J159" s="3"/>
      <c r="K159" s="3"/>
      <c r="L159" s="3"/>
    </row>
    <row r="160" spans="2:12" x14ac:dyDescent="0.2">
      <c r="B160" s="2">
        <f t="shared" si="14"/>
        <v>150</v>
      </c>
      <c r="C160" s="5">
        <f t="shared" si="15"/>
        <v>49491</v>
      </c>
      <c r="D160" s="3">
        <f t="shared" si="16"/>
        <v>18419.009999999998</v>
      </c>
      <c r="E160" s="3">
        <f t="shared" si="17"/>
        <v>16.88</v>
      </c>
      <c r="F160" s="3">
        <f t="shared" si="18"/>
        <v>586.02</v>
      </c>
      <c r="G160" s="3">
        <f t="shared" si="19"/>
        <v>8.33</v>
      </c>
      <c r="H160" s="3">
        <f t="shared" si="20"/>
        <v>611.23</v>
      </c>
      <c r="J160" s="3"/>
      <c r="K160" s="3"/>
      <c r="L160" s="3"/>
    </row>
    <row r="161" spans="2:12" x14ac:dyDescent="0.2">
      <c r="B161" s="2">
        <f t="shared" si="14"/>
        <v>151</v>
      </c>
      <c r="C161" s="5">
        <f t="shared" si="15"/>
        <v>49522</v>
      </c>
      <c r="D161" s="3">
        <f t="shared" si="16"/>
        <v>17832.989999999998</v>
      </c>
      <c r="E161" s="3">
        <f t="shared" si="17"/>
        <v>16.350000000000001</v>
      </c>
      <c r="F161" s="3">
        <f t="shared" si="18"/>
        <v>586.54999999999995</v>
      </c>
      <c r="G161" s="3">
        <f t="shared" si="19"/>
        <v>8.33</v>
      </c>
      <c r="H161" s="3">
        <f t="shared" si="20"/>
        <v>611.23</v>
      </c>
      <c r="J161" s="3"/>
      <c r="K161" s="3"/>
      <c r="L161" s="3"/>
    </row>
    <row r="162" spans="2:12" x14ac:dyDescent="0.2">
      <c r="B162" s="2">
        <f t="shared" si="14"/>
        <v>152</v>
      </c>
      <c r="C162" s="5">
        <f t="shared" si="15"/>
        <v>49553</v>
      </c>
      <c r="D162" s="3">
        <f t="shared" si="16"/>
        <v>17246.439999999999</v>
      </c>
      <c r="E162" s="3">
        <f t="shared" si="17"/>
        <v>15.81</v>
      </c>
      <c r="F162" s="3">
        <f t="shared" si="18"/>
        <v>587.09</v>
      </c>
      <c r="G162" s="3">
        <f t="shared" si="19"/>
        <v>8.33</v>
      </c>
      <c r="H162" s="3">
        <f t="shared" si="20"/>
        <v>611.23</v>
      </c>
      <c r="J162" s="3"/>
      <c r="K162" s="3"/>
      <c r="L162" s="3"/>
    </row>
    <row r="163" spans="2:12" x14ac:dyDescent="0.2">
      <c r="B163" s="2">
        <f t="shared" si="14"/>
        <v>153</v>
      </c>
      <c r="C163" s="5">
        <f t="shared" si="15"/>
        <v>49583</v>
      </c>
      <c r="D163" s="3">
        <f t="shared" si="16"/>
        <v>16659.349999999999</v>
      </c>
      <c r="E163" s="3">
        <f t="shared" si="17"/>
        <v>15.27</v>
      </c>
      <c r="F163" s="3">
        <f t="shared" si="18"/>
        <v>587.63</v>
      </c>
      <c r="G163" s="3">
        <f t="shared" si="19"/>
        <v>8.33</v>
      </c>
      <c r="H163" s="3">
        <f t="shared" si="20"/>
        <v>611.23</v>
      </c>
      <c r="J163" s="3"/>
      <c r="K163" s="3"/>
      <c r="L163" s="3"/>
    </row>
    <row r="164" spans="2:12" x14ac:dyDescent="0.2">
      <c r="B164" s="2">
        <f t="shared" si="14"/>
        <v>154</v>
      </c>
      <c r="C164" s="5">
        <f t="shared" si="15"/>
        <v>49614</v>
      </c>
      <c r="D164" s="3">
        <f t="shared" si="16"/>
        <v>16071.72</v>
      </c>
      <c r="E164" s="3">
        <f t="shared" si="17"/>
        <v>14.73</v>
      </c>
      <c r="F164" s="3">
        <f t="shared" si="18"/>
        <v>588.16999999999996</v>
      </c>
      <c r="G164" s="3">
        <f t="shared" si="19"/>
        <v>8.33</v>
      </c>
      <c r="H164" s="3">
        <f t="shared" si="20"/>
        <v>611.23</v>
      </c>
      <c r="J164" s="3"/>
      <c r="K164" s="3"/>
      <c r="L164" s="3"/>
    </row>
    <row r="165" spans="2:12" x14ac:dyDescent="0.2">
      <c r="B165" s="2">
        <f t="shared" si="14"/>
        <v>155</v>
      </c>
      <c r="C165" s="5">
        <f t="shared" si="15"/>
        <v>49644</v>
      </c>
      <c r="D165" s="3">
        <f t="shared" si="16"/>
        <v>15483.55</v>
      </c>
      <c r="E165" s="3">
        <f t="shared" si="17"/>
        <v>14.19</v>
      </c>
      <c r="F165" s="3">
        <f t="shared" si="18"/>
        <v>588.70999999999992</v>
      </c>
      <c r="G165" s="3">
        <f t="shared" si="19"/>
        <v>8.33</v>
      </c>
      <c r="H165" s="3">
        <f t="shared" si="20"/>
        <v>611.23</v>
      </c>
      <c r="J165" s="3"/>
      <c r="K165" s="3"/>
      <c r="L165" s="3"/>
    </row>
    <row r="166" spans="2:12" x14ac:dyDescent="0.2">
      <c r="B166" s="2">
        <f t="shared" si="14"/>
        <v>156</v>
      </c>
      <c r="C166" s="5">
        <f t="shared" si="15"/>
        <v>49675</v>
      </c>
      <c r="D166" s="3">
        <f t="shared" si="16"/>
        <v>14894.84</v>
      </c>
      <c r="E166" s="3">
        <f t="shared" si="17"/>
        <v>13.65</v>
      </c>
      <c r="F166" s="3">
        <f t="shared" si="18"/>
        <v>589.25</v>
      </c>
      <c r="G166" s="3">
        <f t="shared" si="19"/>
        <v>8.33</v>
      </c>
      <c r="H166" s="3">
        <f t="shared" si="20"/>
        <v>611.23</v>
      </c>
      <c r="J166" s="3"/>
      <c r="K166" s="3"/>
      <c r="L166" s="3"/>
    </row>
    <row r="167" spans="2:12" x14ac:dyDescent="0.2">
      <c r="B167" s="2">
        <f t="shared" si="14"/>
        <v>157</v>
      </c>
      <c r="C167" s="5">
        <f t="shared" si="15"/>
        <v>49706</v>
      </c>
      <c r="D167" s="3">
        <f t="shared" si="16"/>
        <v>14305.59</v>
      </c>
      <c r="E167" s="3">
        <f t="shared" si="17"/>
        <v>13.11</v>
      </c>
      <c r="F167" s="3">
        <f t="shared" si="18"/>
        <v>589.79</v>
      </c>
      <c r="G167" s="3">
        <f t="shared" si="19"/>
        <v>8.33</v>
      </c>
      <c r="H167" s="3">
        <f t="shared" si="20"/>
        <v>611.23</v>
      </c>
      <c r="J167" s="3"/>
      <c r="K167" s="3"/>
      <c r="L167" s="3"/>
    </row>
    <row r="168" spans="2:12" x14ac:dyDescent="0.2">
      <c r="B168" s="2">
        <f t="shared" si="14"/>
        <v>158</v>
      </c>
      <c r="C168" s="5">
        <f t="shared" si="15"/>
        <v>49735</v>
      </c>
      <c r="D168" s="3">
        <f t="shared" si="16"/>
        <v>13715.8</v>
      </c>
      <c r="E168" s="3">
        <f t="shared" si="17"/>
        <v>12.57</v>
      </c>
      <c r="F168" s="3">
        <f t="shared" si="18"/>
        <v>590.32999999999993</v>
      </c>
      <c r="G168" s="3">
        <f t="shared" si="19"/>
        <v>8.33</v>
      </c>
      <c r="H168" s="3">
        <f t="shared" si="20"/>
        <v>611.23</v>
      </c>
      <c r="J168" s="3"/>
      <c r="K168" s="3"/>
      <c r="L168" s="3"/>
    </row>
    <row r="169" spans="2:12" x14ac:dyDescent="0.2">
      <c r="B169" s="2">
        <f t="shared" si="14"/>
        <v>159</v>
      </c>
      <c r="C169" s="5">
        <f t="shared" si="15"/>
        <v>49766</v>
      </c>
      <c r="D169" s="3">
        <f t="shared" si="16"/>
        <v>13125.47</v>
      </c>
      <c r="E169" s="3">
        <f t="shared" si="17"/>
        <v>12.03</v>
      </c>
      <c r="F169" s="3">
        <f t="shared" si="18"/>
        <v>590.87</v>
      </c>
      <c r="G169" s="3">
        <f t="shared" si="19"/>
        <v>8.33</v>
      </c>
      <c r="H169" s="3">
        <f t="shared" si="20"/>
        <v>611.23</v>
      </c>
      <c r="J169" s="3"/>
      <c r="K169" s="3"/>
      <c r="L169" s="3"/>
    </row>
    <row r="170" spans="2:12" x14ac:dyDescent="0.2">
      <c r="B170" s="2">
        <f t="shared" si="14"/>
        <v>160</v>
      </c>
      <c r="C170" s="5">
        <f t="shared" si="15"/>
        <v>49796</v>
      </c>
      <c r="D170" s="3">
        <f t="shared" si="16"/>
        <v>12534.599999999999</v>
      </c>
      <c r="E170" s="3">
        <f t="shared" si="17"/>
        <v>11.49</v>
      </c>
      <c r="F170" s="3">
        <f t="shared" si="18"/>
        <v>591.41</v>
      </c>
      <c r="G170" s="3">
        <f t="shared" si="19"/>
        <v>8.33</v>
      </c>
      <c r="H170" s="3">
        <f t="shared" si="20"/>
        <v>611.23</v>
      </c>
      <c r="J170" s="3"/>
      <c r="K170" s="3"/>
      <c r="L170" s="3"/>
    </row>
    <row r="171" spans="2:12" x14ac:dyDescent="0.2">
      <c r="B171" s="2">
        <f t="shared" si="14"/>
        <v>161</v>
      </c>
      <c r="C171" s="5">
        <f t="shared" si="15"/>
        <v>49827</v>
      </c>
      <c r="D171" s="3">
        <f t="shared" si="16"/>
        <v>11943.189999999999</v>
      </c>
      <c r="E171" s="3">
        <f t="shared" si="17"/>
        <v>10.95</v>
      </c>
      <c r="F171" s="3">
        <f t="shared" si="18"/>
        <v>591.94999999999993</v>
      </c>
      <c r="G171" s="3">
        <f t="shared" si="19"/>
        <v>8.33</v>
      </c>
      <c r="H171" s="3">
        <f t="shared" si="20"/>
        <v>611.23</v>
      </c>
      <c r="J171" s="3"/>
      <c r="K171" s="3"/>
      <c r="L171" s="3"/>
    </row>
    <row r="172" spans="2:12" x14ac:dyDescent="0.2">
      <c r="B172" s="2">
        <f t="shared" si="14"/>
        <v>162</v>
      </c>
      <c r="C172" s="5">
        <f t="shared" si="15"/>
        <v>49857</v>
      </c>
      <c r="D172" s="3">
        <f t="shared" si="16"/>
        <v>11351.239999999998</v>
      </c>
      <c r="E172" s="3">
        <f t="shared" si="17"/>
        <v>10.41</v>
      </c>
      <c r="F172" s="3">
        <f t="shared" si="18"/>
        <v>592.49</v>
      </c>
      <c r="G172" s="3">
        <f t="shared" si="19"/>
        <v>8.33</v>
      </c>
      <c r="H172" s="3">
        <f t="shared" si="20"/>
        <v>611.23</v>
      </c>
      <c r="J172" s="3"/>
      <c r="K172" s="3"/>
      <c r="L172" s="3"/>
    </row>
    <row r="173" spans="2:12" x14ac:dyDescent="0.2">
      <c r="B173" s="2">
        <f t="shared" si="14"/>
        <v>163</v>
      </c>
      <c r="C173" s="5">
        <f t="shared" si="15"/>
        <v>49888</v>
      </c>
      <c r="D173" s="3">
        <f t="shared" si="16"/>
        <v>10758.749999999998</v>
      </c>
      <c r="E173" s="3">
        <f t="shared" si="17"/>
        <v>9.86</v>
      </c>
      <c r="F173" s="3">
        <f t="shared" si="18"/>
        <v>593.04</v>
      </c>
      <c r="G173" s="3">
        <f t="shared" si="19"/>
        <v>8.33</v>
      </c>
      <c r="H173" s="3">
        <f t="shared" si="20"/>
        <v>611.23</v>
      </c>
      <c r="J173" s="3"/>
      <c r="K173" s="3"/>
      <c r="L173" s="3"/>
    </row>
    <row r="174" spans="2:12" x14ac:dyDescent="0.2">
      <c r="B174" s="2">
        <f t="shared" si="14"/>
        <v>164</v>
      </c>
      <c r="C174" s="5">
        <f t="shared" si="15"/>
        <v>49919</v>
      </c>
      <c r="D174" s="3">
        <f t="shared" si="16"/>
        <v>10165.709999999999</v>
      </c>
      <c r="E174" s="3">
        <f t="shared" si="17"/>
        <v>9.32</v>
      </c>
      <c r="F174" s="3">
        <f t="shared" si="18"/>
        <v>593.57999999999993</v>
      </c>
      <c r="G174" s="3">
        <f t="shared" si="19"/>
        <v>8.33</v>
      </c>
      <c r="H174" s="3">
        <f t="shared" si="20"/>
        <v>611.23</v>
      </c>
      <c r="J174" s="3"/>
      <c r="K174" s="3"/>
      <c r="L174" s="3"/>
    </row>
    <row r="175" spans="2:12" x14ac:dyDescent="0.2">
      <c r="B175" s="2">
        <f t="shared" si="14"/>
        <v>165</v>
      </c>
      <c r="C175" s="5">
        <f t="shared" si="15"/>
        <v>49949</v>
      </c>
      <c r="D175" s="3">
        <f t="shared" si="16"/>
        <v>9572.1299999999992</v>
      </c>
      <c r="E175" s="3">
        <f t="shared" si="17"/>
        <v>8.77</v>
      </c>
      <c r="F175" s="3">
        <f t="shared" si="18"/>
        <v>594.13</v>
      </c>
      <c r="G175" s="3">
        <f t="shared" si="19"/>
        <v>8.33</v>
      </c>
      <c r="H175" s="3">
        <f t="shared" si="20"/>
        <v>611.23</v>
      </c>
      <c r="J175" s="3"/>
      <c r="K175" s="3"/>
      <c r="L175" s="3"/>
    </row>
    <row r="176" spans="2:12" x14ac:dyDescent="0.2">
      <c r="B176" s="2">
        <f t="shared" si="14"/>
        <v>166</v>
      </c>
      <c r="C176" s="5">
        <f t="shared" si="15"/>
        <v>49980</v>
      </c>
      <c r="D176" s="3">
        <f t="shared" si="16"/>
        <v>8978</v>
      </c>
      <c r="E176" s="3">
        <f t="shared" si="17"/>
        <v>8.23</v>
      </c>
      <c r="F176" s="3">
        <f t="shared" si="18"/>
        <v>594.66999999999996</v>
      </c>
      <c r="G176" s="3">
        <f t="shared" si="19"/>
        <v>8.33</v>
      </c>
      <c r="H176" s="3">
        <f t="shared" si="20"/>
        <v>611.23</v>
      </c>
      <c r="J176" s="3"/>
      <c r="K176" s="3"/>
      <c r="L176" s="3"/>
    </row>
    <row r="177" spans="2:12" x14ac:dyDescent="0.2">
      <c r="B177" s="2">
        <f t="shared" si="14"/>
        <v>167</v>
      </c>
      <c r="C177" s="5">
        <f t="shared" si="15"/>
        <v>50010</v>
      </c>
      <c r="D177" s="3">
        <f t="shared" si="16"/>
        <v>8383.33</v>
      </c>
      <c r="E177" s="3">
        <f t="shared" si="17"/>
        <v>7.68</v>
      </c>
      <c r="F177" s="3">
        <f t="shared" si="18"/>
        <v>595.22</v>
      </c>
      <c r="G177" s="3">
        <f t="shared" si="19"/>
        <v>8.33</v>
      </c>
      <c r="H177" s="3">
        <f t="shared" si="20"/>
        <v>611.23</v>
      </c>
      <c r="J177" s="3"/>
      <c r="K177" s="3"/>
      <c r="L177" s="3"/>
    </row>
    <row r="178" spans="2:12" x14ac:dyDescent="0.2">
      <c r="B178" s="2">
        <f t="shared" si="14"/>
        <v>168</v>
      </c>
      <c r="C178" s="5">
        <f t="shared" si="15"/>
        <v>50041</v>
      </c>
      <c r="D178" s="3">
        <f t="shared" si="16"/>
        <v>7788.11</v>
      </c>
      <c r="E178" s="3">
        <f t="shared" si="17"/>
        <v>7.14</v>
      </c>
      <c r="F178" s="3">
        <f t="shared" si="18"/>
        <v>595.76</v>
      </c>
      <c r="G178" s="3">
        <f t="shared" si="19"/>
        <v>8.33</v>
      </c>
      <c r="H178" s="3">
        <f t="shared" si="20"/>
        <v>611.23</v>
      </c>
      <c r="J178" s="3"/>
      <c r="K178" s="3"/>
      <c r="L178" s="3"/>
    </row>
    <row r="179" spans="2:12" x14ac:dyDescent="0.2">
      <c r="B179" s="2">
        <f t="shared" si="14"/>
        <v>169</v>
      </c>
      <c r="C179" s="5">
        <f t="shared" si="15"/>
        <v>50072</v>
      </c>
      <c r="D179" s="3">
        <f t="shared" si="16"/>
        <v>7192.3499999999995</v>
      </c>
      <c r="E179" s="3">
        <f t="shared" si="17"/>
        <v>6.59</v>
      </c>
      <c r="F179" s="3">
        <f t="shared" si="18"/>
        <v>596.30999999999995</v>
      </c>
      <c r="G179" s="3">
        <f t="shared" si="19"/>
        <v>8.33</v>
      </c>
      <c r="H179" s="3">
        <f t="shared" si="20"/>
        <v>611.23</v>
      </c>
      <c r="J179" s="3"/>
      <c r="K179" s="3"/>
      <c r="L179" s="3"/>
    </row>
    <row r="180" spans="2:12" x14ac:dyDescent="0.2">
      <c r="B180" s="2">
        <f t="shared" si="14"/>
        <v>170</v>
      </c>
      <c r="C180" s="5">
        <f t="shared" si="15"/>
        <v>50100</v>
      </c>
      <c r="D180" s="3">
        <f t="shared" si="16"/>
        <v>6596.0399999999991</v>
      </c>
      <c r="E180" s="3">
        <f t="shared" si="17"/>
        <v>6.05</v>
      </c>
      <c r="F180" s="3">
        <f t="shared" si="18"/>
        <v>596.85</v>
      </c>
      <c r="G180" s="3">
        <f t="shared" si="19"/>
        <v>8.33</v>
      </c>
      <c r="H180" s="3">
        <f t="shared" si="20"/>
        <v>611.23</v>
      </c>
      <c r="J180" s="3"/>
      <c r="K180" s="3"/>
      <c r="L180" s="3"/>
    </row>
    <row r="181" spans="2:12" x14ac:dyDescent="0.2">
      <c r="B181" s="2">
        <f t="shared" si="14"/>
        <v>171</v>
      </c>
      <c r="C181" s="5">
        <f t="shared" si="15"/>
        <v>50131</v>
      </c>
      <c r="D181" s="3">
        <f t="shared" si="16"/>
        <v>5999.1899999999987</v>
      </c>
      <c r="E181" s="3">
        <f t="shared" si="17"/>
        <v>5.5</v>
      </c>
      <c r="F181" s="3">
        <f t="shared" si="18"/>
        <v>597.4</v>
      </c>
      <c r="G181" s="3">
        <f t="shared" si="19"/>
        <v>8.33</v>
      </c>
      <c r="H181" s="3">
        <f t="shared" si="20"/>
        <v>611.23</v>
      </c>
      <c r="J181" s="3"/>
      <c r="K181" s="3"/>
      <c r="L181" s="3"/>
    </row>
    <row r="182" spans="2:12" x14ac:dyDescent="0.2">
      <c r="B182" s="2">
        <f t="shared" si="14"/>
        <v>172</v>
      </c>
      <c r="C182" s="5">
        <f t="shared" si="15"/>
        <v>50161</v>
      </c>
      <c r="D182" s="3">
        <f t="shared" si="16"/>
        <v>5401.7899999999991</v>
      </c>
      <c r="E182" s="3">
        <f t="shared" si="17"/>
        <v>4.95</v>
      </c>
      <c r="F182" s="3">
        <f t="shared" si="18"/>
        <v>597.94999999999993</v>
      </c>
      <c r="G182" s="3">
        <f t="shared" si="19"/>
        <v>8.33</v>
      </c>
      <c r="H182" s="3">
        <f t="shared" si="20"/>
        <v>611.23</v>
      </c>
      <c r="J182" s="3"/>
      <c r="K182" s="3"/>
      <c r="L182" s="3"/>
    </row>
    <row r="183" spans="2:12" x14ac:dyDescent="0.2">
      <c r="B183" s="2">
        <f t="shared" si="14"/>
        <v>173</v>
      </c>
      <c r="C183" s="5">
        <f t="shared" si="15"/>
        <v>50192</v>
      </c>
      <c r="D183" s="3">
        <f t="shared" si="16"/>
        <v>4803.8399999999992</v>
      </c>
      <c r="E183" s="3">
        <f t="shared" si="17"/>
        <v>4.4000000000000004</v>
      </c>
      <c r="F183" s="3">
        <f t="shared" si="18"/>
        <v>598.5</v>
      </c>
      <c r="G183" s="3">
        <f t="shared" si="19"/>
        <v>8.33</v>
      </c>
      <c r="H183" s="3">
        <f t="shared" si="20"/>
        <v>611.23</v>
      </c>
      <c r="J183" s="3"/>
      <c r="K183" s="3"/>
      <c r="L183" s="3"/>
    </row>
    <row r="184" spans="2:12" x14ac:dyDescent="0.2">
      <c r="B184" s="2">
        <f t="shared" si="14"/>
        <v>174</v>
      </c>
      <c r="C184" s="5">
        <f t="shared" si="15"/>
        <v>50222</v>
      </c>
      <c r="D184" s="3">
        <f t="shared" si="16"/>
        <v>4205.3399999999992</v>
      </c>
      <c r="E184" s="3">
        <f t="shared" si="17"/>
        <v>3.85</v>
      </c>
      <c r="F184" s="3">
        <f t="shared" si="18"/>
        <v>599.04999999999995</v>
      </c>
      <c r="G184" s="3">
        <f t="shared" si="19"/>
        <v>8.33</v>
      </c>
      <c r="H184" s="3">
        <f t="shared" si="20"/>
        <v>611.23</v>
      </c>
      <c r="J184" s="3"/>
      <c r="K184" s="3"/>
      <c r="L184" s="3"/>
    </row>
    <row r="185" spans="2:12" x14ac:dyDescent="0.2">
      <c r="B185" s="2">
        <f t="shared" si="14"/>
        <v>175</v>
      </c>
      <c r="C185" s="5">
        <f t="shared" si="15"/>
        <v>50253</v>
      </c>
      <c r="D185" s="3">
        <f t="shared" si="16"/>
        <v>3606.2899999999991</v>
      </c>
      <c r="E185" s="3">
        <f t="shared" si="17"/>
        <v>3.31</v>
      </c>
      <c r="F185" s="3">
        <f t="shared" si="18"/>
        <v>599.59</v>
      </c>
      <c r="G185" s="3">
        <f t="shared" si="19"/>
        <v>8.33</v>
      </c>
      <c r="H185" s="3">
        <f t="shared" si="20"/>
        <v>611.23</v>
      </c>
      <c r="J185" s="3"/>
      <c r="K185" s="3"/>
      <c r="L185" s="3"/>
    </row>
    <row r="186" spans="2:12" x14ac:dyDescent="0.2">
      <c r="B186" s="2">
        <f t="shared" si="14"/>
        <v>176</v>
      </c>
      <c r="C186" s="5">
        <f t="shared" si="15"/>
        <v>50284</v>
      </c>
      <c r="D186" s="3">
        <f t="shared" si="16"/>
        <v>3006.6999999999989</v>
      </c>
      <c r="E186" s="3">
        <f t="shared" si="17"/>
        <v>2.76</v>
      </c>
      <c r="F186" s="3">
        <f t="shared" si="18"/>
        <v>600.14</v>
      </c>
      <c r="G186" s="3">
        <f t="shared" si="19"/>
        <v>8.33</v>
      </c>
      <c r="H186" s="3">
        <f t="shared" si="20"/>
        <v>611.23</v>
      </c>
      <c r="J186" s="3"/>
      <c r="K186" s="3"/>
      <c r="L186" s="3"/>
    </row>
    <row r="187" spans="2:12" x14ac:dyDescent="0.2">
      <c r="B187" s="2">
        <f t="shared" si="14"/>
        <v>177</v>
      </c>
      <c r="C187" s="5">
        <f t="shared" si="15"/>
        <v>50314</v>
      </c>
      <c r="D187" s="3">
        <f t="shared" si="16"/>
        <v>2406.559999999999</v>
      </c>
      <c r="E187" s="3">
        <f t="shared" si="17"/>
        <v>2.21</v>
      </c>
      <c r="F187" s="3">
        <f t="shared" si="18"/>
        <v>600.68999999999994</v>
      </c>
      <c r="G187" s="3">
        <f t="shared" si="19"/>
        <v>8.33</v>
      </c>
      <c r="H187" s="3">
        <f t="shared" si="20"/>
        <v>611.23</v>
      </c>
      <c r="J187" s="3"/>
      <c r="K187" s="3"/>
      <c r="L187" s="3"/>
    </row>
    <row r="188" spans="2:12" x14ac:dyDescent="0.2">
      <c r="B188" s="2">
        <f t="shared" si="14"/>
        <v>178</v>
      </c>
      <c r="C188" s="5">
        <f t="shared" si="15"/>
        <v>50345</v>
      </c>
      <c r="D188" s="3">
        <f t="shared" si="16"/>
        <v>1805.869999999999</v>
      </c>
      <c r="E188" s="3">
        <f t="shared" si="17"/>
        <v>1.66</v>
      </c>
      <c r="F188" s="3">
        <f t="shared" si="18"/>
        <v>601.24</v>
      </c>
      <c r="G188" s="3">
        <f t="shared" si="19"/>
        <v>8.33</v>
      </c>
      <c r="H188" s="3">
        <f t="shared" si="20"/>
        <v>611.23</v>
      </c>
      <c r="J188" s="3"/>
      <c r="K188" s="3"/>
      <c r="L188" s="3"/>
    </row>
    <row r="189" spans="2:12" x14ac:dyDescent="0.2">
      <c r="B189" s="2">
        <f t="shared" si="14"/>
        <v>179</v>
      </c>
      <c r="C189" s="5">
        <f t="shared" si="15"/>
        <v>50375</v>
      </c>
      <c r="D189" s="3">
        <f t="shared" si="16"/>
        <v>1204.629999999999</v>
      </c>
      <c r="E189" s="3">
        <f t="shared" si="17"/>
        <v>1.1000000000000001</v>
      </c>
      <c r="F189" s="3">
        <f t="shared" si="18"/>
        <v>601.79999999999995</v>
      </c>
      <c r="G189" s="3">
        <f t="shared" si="19"/>
        <v>8.33</v>
      </c>
      <c r="H189" s="3">
        <f t="shared" si="20"/>
        <v>611.23</v>
      </c>
      <c r="J189" s="3"/>
      <c r="K189" s="3"/>
      <c r="L189" s="3"/>
    </row>
    <row r="190" spans="2:12" x14ac:dyDescent="0.2">
      <c r="B190" s="2">
        <f t="shared" si="14"/>
        <v>180</v>
      </c>
      <c r="C190" s="5">
        <f t="shared" si="15"/>
        <v>50406</v>
      </c>
      <c r="D190" s="3">
        <f t="shared" si="16"/>
        <v>602.82999999999902</v>
      </c>
      <c r="E190" s="3">
        <f t="shared" si="17"/>
        <v>0.55000000000000004</v>
      </c>
      <c r="F190" s="3">
        <f t="shared" si="18"/>
        <v>602.82999999999902</v>
      </c>
      <c r="G190" s="3">
        <f t="shared" si="19"/>
        <v>8.33</v>
      </c>
      <c r="H190" s="3">
        <f t="shared" si="20"/>
        <v>611.70999999999901</v>
      </c>
      <c r="J190" s="3"/>
      <c r="K190" s="3"/>
      <c r="L190" s="3"/>
    </row>
    <row r="191" spans="2:12" x14ac:dyDescent="0.2">
      <c r="B191" s="2" t="str">
        <f t="shared" si="14"/>
        <v>-</v>
      </c>
      <c r="C191" s="5" t="str">
        <f t="shared" si="15"/>
        <v/>
      </c>
      <c r="D191" s="3" t="str">
        <f t="shared" si="16"/>
        <v/>
      </c>
      <c r="E191" s="3" t="str">
        <f t="shared" si="17"/>
        <v/>
      </c>
      <c r="F191" s="3" t="str">
        <f t="shared" si="18"/>
        <v/>
      </c>
      <c r="G191" s="3" t="str">
        <f t="shared" si="19"/>
        <v/>
      </c>
      <c r="H191" s="3" t="str">
        <f t="shared" si="20"/>
        <v/>
      </c>
      <c r="J191" s="3"/>
      <c r="K191" s="3"/>
      <c r="L191" s="3"/>
    </row>
    <row r="192" spans="2:12" x14ac:dyDescent="0.2">
      <c r="B192" s="2" t="str">
        <f t="shared" si="14"/>
        <v>-</v>
      </c>
      <c r="C192" s="5" t="str">
        <f t="shared" si="15"/>
        <v/>
      </c>
      <c r="D192" s="3" t="str">
        <f t="shared" si="16"/>
        <v/>
      </c>
      <c r="E192" s="3" t="str">
        <f t="shared" si="17"/>
        <v/>
      </c>
      <c r="F192" s="3" t="str">
        <f t="shared" si="18"/>
        <v/>
      </c>
      <c r="G192" s="3" t="str">
        <f t="shared" si="19"/>
        <v/>
      </c>
      <c r="H192" s="3" t="str">
        <f t="shared" si="20"/>
        <v/>
      </c>
      <c r="J192" s="3"/>
      <c r="K192" s="3"/>
      <c r="L192" s="3"/>
    </row>
    <row r="193" spans="2:12" x14ac:dyDescent="0.2">
      <c r="B193" s="2" t="str">
        <f t="shared" si="14"/>
        <v>-</v>
      </c>
      <c r="C193" s="5" t="str">
        <f t="shared" si="15"/>
        <v/>
      </c>
      <c r="D193" s="3" t="str">
        <f t="shared" si="16"/>
        <v/>
      </c>
      <c r="E193" s="3" t="str">
        <f t="shared" si="17"/>
        <v/>
      </c>
      <c r="F193" s="3" t="str">
        <f t="shared" si="18"/>
        <v/>
      </c>
      <c r="G193" s="3" t="str">
        <f t="shared" si="19"/>
        <v/>
      </c>
      <c r="H193" s="3" t="str">
        <f t="shared" si="20"/>
        <v/>
      </c>
      <c r="J193" s="3"/>
      <c r="K193" s="3"/>
      <c r="L193" s="3"/>
    </row>
    <row r="194" spans="2:12" x14ac:dyDescent="0.2">
      <c r="B194" s="2" t="str">
        <f t="shared" si="14"/>
        <v>-</v>
      </c>
      <c r="C194" s="5" t="str">
        <f t="shared" si="15"/>
        <v/>
      </c>
      <c r="D194" s="3" t="str">
        <f t="shared" si="16"/>
        <v/>
      </c>
      <c r="E194" s="3" t="str">
        <f t="shared" si="17"/>
        <v/>
      </c>
      <c r="F194" s="3" t="str">
        <f t="shared" si="18"/>
        <v/>
      </c>
      <c r="G194" s="3" t="str">
        <f t="shared" si="19"/>
        <v/>
      </c>
      <c r="H194" s="3" t="str">
        <f t="shared" si="20"/>
        <v/>
      </c>
      <c r="J194" s="3"/>
      <c r="K194" s="3"/>
      <c r="L194" s="3"/>
    </row>
    <row r="195" spans="2:12" x14ac:dyDescent="0.2">
      <c r="B195" s="2" t="str">
        <f t="shared" si="14"/>
        <v>-</v>
      </c>
      <c r="C195" s="5" t="str">
        <f t="shared" si="15"/>
        <v/>
      </c>
      <c r="D195" s="3" t="str">
        <f t="shared" si="16"/>
        <v/>
      </c>
      <c r="E195" s="3" t="str">
        <f t="shared" si="17"/>
        <v/>
      </c>
      <c r="F195" s="3" t="str">
        <f t="shared" si="18"/>
        <v/>
      </c>
      <c r="G195" s="3" t="str">
        <f t="shared" si="19"/>
        <v/>
      </c>
      <c r="H195" s="3" t="str">
        <f t="shared" si="20"/>
        <v/>
      </c>
      <c r="J195" s="3"/>
      <c r="K195" s="3"/>
      <c r="L195" s="3"/>
    </row>
    <row r="196" spans="2:12" x14ac:dyDescent="0.2">
      <c r="B196" s="2" t="str">
        <f t="shared" si="14"/>
        <v>-</v>
      </c>
      <c r="C196" s="5" t="str">
        <f t="shared" si="15"/>
        <v/>
      </c>
      <c r="D196" s="3" t="str">
        <f t="shared" si="16"/>
        <v/>
      </c>
      <c r="E196" s="3" t="str">
        <f t="shared" si="17"/>
        <v/>
      </c>
      <c r="F196" s="3" t="str">
        <f t="shared" si="18"/>
        <v/>
      </c>
      <c r="G196" s="3" t="str">
        <f t="shared" si="19"/>
        <v/>
      </c>
      <c r="H196" s="3" t="str">
        <f t="shared" si="20"/>
        <v/>
      </c>
      <c r="J196" s="3"/>
      <c r="K196" s="3"/>
      <c r="L196" s="3"/>
    </row>
    <row r="197" spans="2:12" x14ac:dyDescent="0.2">
      <c r="B197" s="2" t="str">
        <f t="shared" si="14"/>
        <v>-</v>
      </c>
      <c r="C197" s="5" t="str">
        <f t="shared" si="15"/>
        <v/>
      </c>
      <c r="D197" s="3" t="str">
        <f t="shared" si="16"/>
        <v/>
      </c>
      <c r="E197" s="3" t="str">
        <f t="shared" si="17"/>
        <v/>
      </c>
      <c r="F197" s="3" t="str">
        <f t="shared" si="18"/>
        <v/>
      </c>
      <c r="G197" s="3" t="str">
        <f t="shared" si="19"/>
        <v/>
      </c>
      <c r="H197" s="3" t="str">
        <f t="shared" si="20"/>
        <v/>
      </c>
      <c r="J197" s="3"/>
      <c r="K197" s="3"/>
      <c r="L197" s="3"/>
    </row>
    <row r="198" spans="2:12" x14ac:dyDescent="0.2">
      <c r="B198" s="2" t="str">
        <f t="shared" si="14"/>
        <v>-</v>
      </c>
      <c r="C198" s="5" t="str">
        <f t="shared" si="15"/>
        <v/>
      </c>
      <c r="D198" s="3" t="str">
        <f t="shared" si="16"/>
        <v/>
      </c>
      <c r="E198" s="3" t="str">
        <f t="shared" si="17"/>
        <v/>
      </c>
      <c r="F198" s="3" t="str">
        <f t="shared" si="18"/>
        <v/>
      </c>
      <c r="G198" s="3" t="str">
        <f t="shared" si="19"/>
        <v/>
      </c>
      <c r="H198" s="3" t="str">
        <f t="shared" si="20"/>
        <v/>
      </c>
      <c r="J198" s="3"/>
      <c r="K198" s="3"/>
      <c r="L198" s="3"/>
    </row>
    <row r="199" spans="2:12" x14ac:dyDescent="0.2">
      <c r="B199" s="2" t="str">
        <f t="shared" si="14"/>
        <v>-</v>
      </c>
      <c r="C199" s="5" t="str">
        <f t="shared" si="15"/>
        <v/>
      </c>
      <c r="D199" s="3" t="str">
        <f t="shared" si="16"/>
        <v/>
      </c>
      <c r="E199" s="3" t="str">
        <f t="shared" si="17"/>
        <v/>
      </c>
      <c r="F199" s="3" t="str">
        <f t="shared" si="18"/>
        <v/>
      </c>
      <c r="G199" s="3" t="str">
        <f t="shared" si="19"/>
        <v/>
      </c>
      <c r="H199" s="3" t="str">
        <f t="shared" si="20"/>
        <v/>
      </c>
      <c r="J199" s="3"/>
      <c r="K199" s="3"/>
      <c r="L199" s="3"/>
    </row>
    <row r="200" spans="2:12" x14ac:dyDescent="0.2">
      <c r="B200" s="2" t="str">
        <f t="shared" si="14"/>
        <v>-</v>
      </c>
      <c r="C200" s="5" t="str">
        <f t="shared" si="15"/>
        <v/>
      </c>
      <c r="D200" s="3" t="str">
        <f t="shared" si="16"/>
        <v/>
      </c>
      <c r="E200" s="3" t="str">
        <f t="shared" si="17"/>
        <v/>
      </c>
      <c r="F200" s="3" t="str">
        <f t="shared" si="18"/>
        <v/>
      </c>
      <c r="G200" s="3" t="str">
        <f t="shared" si="19"/>
        <v/>
      </c>
      <c r="H200" s="3" t="str">
        <f t="shared" si="20"/>
        <v/>
      </c>
      <c r="J200" s="3"/>
      <c r="K200" s="3"/>
      <c r="L200" s="3"/>
    </row>
    <row r="201" spans="2:12" x14ac:dyDescent="0.2">
      <c r="B201" s="2" t="str">
        <f t="shared" si="14"/>
        <v>-</v>
      </c>
      <c r="C201" s="5" t="str">
        <f t="shared" si="15"/>
        <v/>
      </c>
      <c r="D201" s="3" t="str">
        <f t="shared" si="16"/>
        <v/>
      </c>
      <c r="E201" s="3" t="str">
        <f t="shared" si="17"/>
        <v/>
      </c>
      <c r="F201" s="3" t="str">
        <f t="shared" si="18"/>
        <v/>
      </c>
      <c r="G201" s="3" t="str">
        <f t="shared" si="19"/>
        <v/>
      </c>
      <c r="H201" s="3" t="str">
        <f t="shared" si="20"/>
        <v/>
      </c>
      <c r="J201" s="3"/>
      <c r="K201" s="3"/>
      <c r="L201" s="3"/>
    </row>
    <row r="202" spans="2:12" x14ac:dyDescent="0.2">
      <c r="B202" s="2" t="str">
        <f t="shared" si="14"/>
        <v>-</v>
      </c>
      <c r="C202" s="5" t="str">
        <f t="shared" si="15"/>
        <v/>
      </c>
      <c r="D202" s="3" t="str">
        <f t="shared" si="16"/>
        <v/>
      </c>
      <c r="E202" s="3" t="str">
        <f t="shared" si="17"/>
        <v/>
      </c>
      <c r="F202" s="3" t="str">
        <f t="shared" si="18"/>
        <v/>
      </c>
      <c r="G202" s="3" t="str">
        <f t="shared" si="19"/>
        <v/>
      </c>
      <c r="H202" s="3" t="str">
        <f t="shared" si="20"/>
        <v/>
      </c>
      <c r="J202" s="3"/>
      <c r="K202" s="3"/>
      <c r="L202" s="3"/>
    </row>
    <row r="203" spans="2:12" x14ac:dyDescent="0.2">
      <c r="B203" s="2" t="str">
        <f t="shared" ref="B203:B266" si="21">IF(B202&lt;$L$2,B202+1,"-")</f>
        <v>-</v>
      </c>
      <c r="C203" s="5" t="str">
        <f t="shared" ref="C203:C266" si="22">IF(ISNUMBER(B203),MIN(DATE(YEAR($C$10),MONTH($C$10)+B203*12/$P$4,DAY($C$10)),DATE(YEAR($C$10),MONTH($C$10)+1+B203*12/$P$4,1)-1),"")</f>
        <v/>
      </c>
      <c r="D203" s="3" t="str">
        <f t="shared" ref="D203:D266" si="23">IF(ISNUMBER(B203),D202-F202,"")</f>
        <v/>
      </c>
      <c r="E203" s="3" t="str">
        <f t="shared" ref="E203:E266" si="24">IF(ISNUMBER(B203),ROUND(D203*$L$6,$R$5),"")</f>
        <v/>
      </c>
      <c r="F203" s="3" t="str">
        <f t="shared" ref="F203:F266" si="25">IF(ISNUMBER(B203),IF(B203=$L$2,D203,IF(B203&gt;$L$3,$H$2-E203,0)),"")</f>
        <v/>
      </c>
      <c r="G203" s="3" t="str">
        <f t="shared" ref="G203:G266" si="26">IF(ISNUMBER(B203),$H$3,"")</f>
        <v/>
      </c>
      <c r="H203" s="3" t="str">
        <f t="shared" ref="H203:H266" si="27">IF(ISNUMBER(B203),E203+F203+G203,"")</f>
        <v/>
      </c>
      <c r="J203" s="3"/>
      <c r="K203" s="3"/>
      <c r="L203" s="3"/>
    </row>
    <row r="204" spans="2:12" x14ac:dyDescent="0.2">
      <c r="B204" s="2" t="str">
        <f t="shared" si="21"/>
        <v>-</v>
      </c>
      <c r="C204" s="5" t="str">
        <f t="shared" si="22"/>
        <v/>
      </c>
      <c r="D204" s="3" t="str">
        <f t="shared" si="23"/>
        <v/>
      </c>
      <c r="E204" s="3" t="str">
        <f t="shared" si="24"/>
        <v/>
      </c>
      <c r="F204" s="3" t="str">
        <f t="shared" si="25"/>
        <v/>
      </c>
      <c r="G204" s="3" t="str">
        <f t="shared" si="26"/>
        <v/>
      </c>
      <c r="H204" s="3" t="str">
        <f t="shared" si="27"/>
        <v/>
      </c>
      <c r="J204" s="3"/>
      <c r="K204" s="3"/>
      <c r="L204" s="3"/>
    </row>
    <row r="205" spans="2:12" x14ac:dyDescent="0.2">
      <c r="B205" s="2" t="str">
        <f t="shared" si="21"/>
        <v>-</v>
      </c>
      <c r="C205" s="5" t="str">
        <f t="shared" si="22"/>
        <v/>
      </c>
      <c r="D205" s="3" t="str">
        <f t="shared" si="23"/>
        <v/>
      </c>
      <c r="E205" s="3" t="str">
        <f t="shared" si="24"/>
        <v/>
      </c>
      <c r="F205" s="3" t="str">
        <f t="shared" si="25"/>
        <v/>
      </c>
      <c r="G205" s="3" t="str">
        <f t="shared" si="26"/>
        <v/>
      </c>
      <c r="H205" s="3" t="str">
        <f t="shared" si="27"/>
        <v/>
      </c>
      <c r="J205" s="3"/>
      <c r="K205" s="3"/>
      <c r="L205" s="3"/>
    </row>
    <row r="206" spans="2:12" x14ac:dyDescent="0.2">
      <c r="B206" s="2" t="str">
        <f t="shared" si="21"/>
        <v>-</v>
      </c>
      <c r="C206" s="5" t="str">
        <f t="shared" si="22"/>
        <v/>
      </c>
      <c r="D206" s="3" t="str">
        <f t="shared" si="23"/>
        <v/>
      </c>
      <c r="E206" s="3" t="str">
        <f t="shared" si="24"/>
        <v/>
      </c>
      <c r="F206" s="3" t="str">
        <f t="shared" si="25"/>
        <v/>
      </c>
      <c r="G206" s="3" t="str">
        <f t="shared" si="26"/>
        <v/>
      </c>
      <c r="H206" s="3" t="str">
        <f t="shared" si="27"/>
        <v/>
      </c>
      <c r="J206" s="3"/>
      <c r="K206" s="3"/>
      <c r="L206" s="3"/>
    </row>
    <row r="207" spans="2:12" x14ac:dyDescent="0.2">
      <c r="B207" s="2" t="str">
        <f t="shared" si="21"/>
        <v>-</v>
      </c>
      <c r="C207" s="5" t="str">
        <f t="shared" si="22"/>
        <v/>
      </c>
      <c r="D207" s="3" t="str">
        <f t="shared" si="23"/>
        <v/>
      </c>
      <c r="E207" s="3" t="str">
        <f t="shared" si="24"/>
        <v/>
      </c>
      <c r="F207" s="3" t="str">
        <f t="shared" si="25"/>
        <v/>
      </c>
      <c r="G207" s="3" t="str">
        <f t="shared" si="26"/>
        <v/>
      </c>
      <c r="H207" s="3" t="str">
        <f t="shared" si="27"/>
        <v/>
      </c>
      <c r="J207" s="3"/>
      <c r="K207" s="3"/>
      <c r="L207" s="3"/>
    </row>
    <row r="208" spans="2:12" x14ac:dyDescent="0.2">
      <c r="B208" s="2" t="str">
        <f t="shared" si="21"/>
        <v>-</v>
      </c>
      <c r="C208" s="5" t="str">
        <f t="shared" si="22"/>
        <v/>
      </c>
      <c r="D208" s="3" t="str">
        <f t="shared" si="23"/>
        <v/>
      </c>
      <c r="E208" s="3" t="str">
        <f t="shared" si="24"/>
        <v/>
      </c>
      <c r="F208" s="3" t="str">
        <f t="shared" si="25"/>
        <v/>
      </c>
      <c r="G208" s="3" t="str">
        <f t="shared" si="26"/>
        <v/>
      </c>
      <c r="H208" s="3" t="str">
        <f t="shared" si="27"/>
        <v/>
      </c>
      <c r="J208" s="3"/>
      <c r="K208" s="3"/>
      <c r="L208" s="3"/>
    </row>
    <row r="209" spans="2:12" x14ac:dyDescent="0.2">
      <c r="B209" s="2" t="str">
        <f t="shared" si="21"/>
        <v>-</v>
      </c>
      <c r="C209" s="5" t="str">
        <f t="shared" si="22"/>
        <v/>
      </c>
      <c r="D209" s="3" t="str">
        <f t="shared" si="23"/>
        <v/>
      </c>
      <c r="E209" s="3" t="str">
        <f t="shared" si="24"/>
        <v/>
      </c>
      <c r="F209" s="3" t="str">
        <f t="shared" si="25"/>
        <v/>
      </c>
      <c r="G209" s="3" t="str">
        <f t="shared" si="26"/>
        <v/>
      </c>
      <c r="H209" s="3" t="str">
        <f t="shared" si="27"/>
        <v/>
      </c>
      <c r="J209" s="3"/>
      <c r="K209" s="3"/>
      <c r="L209" s="3"/>
    </row>
    <row r="210" spans="2:12" x14ac:dyDescent="0.2">
      <c r="B210" s="2" t="str">
        <f t="shared" si="21"/>
        <v>-</v>
      </c>
      <c r="C210" s="5" t="str">
        <f t="shared" si="22"/>
        <v/>
      </c>
      <c r="D210" s="3" t="str">
        <f t="shared" si="23"/>
        <v/>
      </c>
      <c r="E210" s="3" t="str">
        <f t="shared" si="24"/>
        <v/>
      </c>
      <c r="F210" s="3" t="str">
        <f t="shared" si="25"/>
        <v/>
      </c>
      <c r="G210" s="3" t="str">
        <f t="shared" si="26"/>
        <v/>
      </c>
      <c r="H210" s="3" t="str">
        <f t="shared" si="27"/>
        <v/>
      </c>
      <c r="J210" s="3"/>
      <c r="K210" s="3"/>
      <c r="L210" s="3"/>
    </row>
    <row r="211" spans="2:12" x14ac:dyDescent="0.2">
      <c r="B211" s="2" t="str">
        <f t="shared" si="21"/>
        <v>-</v>
      </c>
      <c r="C211" s="5" t="str">
        <f t="shared" si="22"/>
        <v/>
      </c>
      <c r="D211" s="3" t="str">
        <f t="shared" si="23"/>
        <v/>
      </c>
      <c r="E211" s="3" t="str">
        <f t="shared" si="24"/>
        <v/>
      </c>
      <c r="F211" s="3" t="str">
        <f t="shared" si="25"/>
        <v/>
      </c>
      <c r="G211" s="3" t="str">
        <f t="shared" si="26"/>
        <v/>
      </c>
      <c r="H211" s="3" t="str">
        <f t="shared" si="27"/>
        <v/>
      </c>
      <c r="J211" s="3"/>
      <c r="K211" s="3"/>
      <c r="L211" s="3"/>
    </row>
    <row r="212" spans="2:12" x14ac:dyDescent="0.2">
      <c r="B212" s="2" t="str">
        <f t="shared" si="21"/>
        <v>-</v>
      </c>
      <c r="C212" s="5" t="str">
        <f t="shared" si="22"/>
        <v/>
      </c>
      <c r="D212" s="3" t="str">
        <f t="shared" si="23"/>
        <v/>
      </c>
      <c r="E212" s="3" t="str">
        <f t="shared" si="24"/>
        <v/>
      </c>
      <c r="F212" s="3" t="str">
        <f t="shared" si="25"/>
        <v/>
      </c>
      <c r="G212" s="3" t="str">
        <f t="shared" si="26"/>
        <v/>
      </c>
      <c r="H212" s="3" t="str">
        <f t="shared" si="27"/>
        <v/>
      </c>
      <c r="J212" s="3"/>
      <c r="K212" s="3"/>
      <c r="L212" s="3"/>
    </row>
    <row r="213" spans="2:12" x14ac:dyDescent="0.2">
      <c r="B213" s="2" t="str">
        <f t="shared" si="21"/>
        <v>-</v>
      </c>
      <c r="C213" s="5" t="str">
        <f t="shared" si="22"/>
        <v/>
      </c>
      <c r="D213" s="3" t="str">
        <f t="shared" si="23"/>
        <v/>
      </c>
      <c r="E213" s="3" t="str">
        <f t="shared" si="24"/>
        <v/>
      </c>
      <c r="F213" s="3" t="str">
        <f t="shared" si="25"/>
        <v/>
      </c>
      <c r="G213" s="3" t="str">
        <f t="shared" si="26"/>
        <v/>
      </c>
      <c r="H213" s="3" t="str">
        <f t="shared" si="27"/>
        <v/>
      </c>
      <c r="J213" s="3"/>
      <c r="K213" s="3"/>
      <c r="L213" s="3"/>
    </row>
    <row r="214" spans="2:12" x14ac:dyDescent="0.2">
      <c r="B214" s="2" t="str">
        <f t="shared" si="21"/>
        <v>-</v>
      </c>
      <c r="C214" s="5" t="str">
        <f t="shared" si="22"/>
        <v/>
      </c>
      <c r="D214" s="3" t="str">
        <f t="shared" si="23"/>
        <v/>
      </c>
      <c r="E214" s="3" t="str">
        <f t="shared" si="24"/>
        <v/>
      </c>
      <c r="F214" s="3" t="str">
        <f t="shared" si="25"/>
        <v/>
      </c>
      <c r="G214" s="3" t="str">
        <f t="shared" si="26"/>
        <v/>
      </c>
      <c r="H214" s="3" t="str">
        <f t="shared" si="27"/>
        <v/>
      </c>
      <c r="J214" s="3"/>
      <c r="K214" s="3"/>
      <c r="L214" s="3"/>
    </row>
    <row r="215" spans="2:12" x14ac:dyDescent="0.2">
      <c r="B215" s="2" t="str">
        <f t="shared" si="21"/>
        <v>-</v>
      </c>
      <c r="C215" s="5" t="str">
        <f t="shared" si="22"/>
        <v/>
      </c>
      <c r="D215" s="3" t="str">
        <f t="shared" si="23"/>
        <v/>
      </c>
      <c r="E215" s="3" t="str">
        <f t="shared" si="24"/>
        <v/>
      </c>
      <c r="F215" s="3" t="str">
        <f t="shared" si="25"/>
        <v/>
      </c>
      <c r="G215" s="3" t="str">
        <f t="shared" si="26"/>
        <v/>
      </c>
      <c r="H215" s="3" t="str">
        <f t="shared" si="27"/>
        <v/>
      </c>
      <c r="J215" s="3"/>
      <c r="K215" s="3"/>
      <c r="L215" s="3"/>
    </row>
    <row r="216" spans="2:12" x14ac:dyDescent="0.2">
      <c r="B216" s="2" t="str">
        <f t="shared" si="21"/>
        <v>-</v>
      </c>
      <c r="C216" s="5" t="str">
        <f t="shared" si="22"/>
        <v/>
      </c>
      <c r="D216" s="3" t="str">
        <f t="shared" si="23"/>
        <v/>
      </c>
      <c r="E216" s="3" t="str">
        <f t="shared" si="24"/>
        <v/>
      </c>
      <c r="F216" s="3" t="str">
        <f t="shared" si="25"/>
        <v/>
      </c>
      <c r="G216" s="3" t="str">
        <f t="shared" si="26"/>
        <v/>
      </c>
      <c r="H216" s="3" t="str">
        <f t="shared" si="27"/>
        <v/>
      </c>
      <c r="J216" s="3"/>
      <c r="K216" s="3"/>
      <c r="L216" s="3"/>
    </row>
    <row r="217" spans="2:12" x14ac:dyDescent="0.2">
      <c r="B217" s="2" t="str">
        <f t="shared" si="21"/>
        <v>-</v>
      </c>
      <c r="C217" s="5" t="str">
        <f t="shared" si="22"/>
        <v/>
      </c>
      <c r="D217" s="3" t="str">
        <f t="shared" si="23"/>
        <v/>
      </c>
      <c r="E217" s="3" t="str">
        <f t="shared" si="24"/>
        <v/>
      </c>
      <c r="F217" s="3" t="str">
        <f t="shared" si="25"/>
        <v/>
      </c>
      <c r="G217" s="3" t="str">
        <f t="shared" si="26"/>
        <v/>
      </c>
      <c r="H217" s="3" t="str">
        <f t="shared" si="27"/>
        <v/>
      </c>
      <c r="J217" s="3"/>
      <c r="K217" s="3"/>
      <c r="L217" s="3"/>
    </row>
    <row r="218" spans="2:12" x14ac:dyDescent="0.2">
      <c r="B218" s="2" t="str">
        <f t="shared" si="21"/>
        <v>-</v>
      </c>
      <c r="C218" s="5" t="str">
        <f t="shared" si="22"/>
        <v/>
      </c>
      <c r="D218" s="3" t="str">
        <f t="shared" si="23"/>
        <v/>
      </c>
      <c r="E218" s="3" t="str">
        <f t="shared" si="24"/>
        <v/>
      </c>
      <c r="F218" s="3" t="str">
        <f t="shared" si="25"/>
        <v/>
      </c>
      <c r="G218" s="3" t="str">
        <f t="shared" si="26"/>
        <v/>
      </c>
      <c r="H218" s="3" t="str">
        <f t="shared" si="27"/>
        <v/>
      </c>
      <c r="J218" s="3"/>
      <c r="K218" s="3"/>
      <c r="L218" s="3"/>
    </row>
    <row r="219" spans="2:12" x14ac:dyDescent="0.2">
      <c r="B219" s="2" t="str">
        <f t="shared" si="21"/>
        <v>-</v>
      </c>
      <c r="C219" s="5" t="str">
        <f t="shared" si="22"/>
        <v/>
      </c>
      <c r="D219" s="3" t="str">
        <f t="shared" si="23"/>
        <v/>
      </c>
      <c r="E219" s="3" t="str">
        <f t="shared" si="24"/>
        <v/>
      </c>
      <c r="F219" s="3" t="str">
        <f t="shared" si="25"/>
        <v/>
      </c>
      <c r="G219" s="3" t="str">
        <f t="shared" si="26"/>
        <v/>
      </c>
      <c r="H219" s="3" t="str">
        <f t="shared" si="27"/>
        <v/>
      </c>
      <c r="J219" s="3"/>
      <c r="K219" s="3"/>
      <c r="L219" s="3"/>
    </row>
    <row r="220" spans="2:12" x14ac:dyDescent="0.2">
      <c r="B220" s="2" t="str">
        <f t="shared" si="21"/>
        <v>-</v>
      </c>
      <c r="C220" s="5" t="str">
        <f t="shared" si="22"/>
        <v/>
      </c>
      <c r="D220" s="3" t="str">
        <f t="shared" si="23"/>
        <v/>
      </c>
      <c r="E220" s="3" t="str">
        <f t="shared" si="24"/>
        <v/>
      </c>
      <c r="F220" s="3" t="str">
        <f t="shared" si="25"/>
        <v/>
      </c>
      <c r="G220" s="3" t="str">
        <f t="shared" si="26"/>
        <v/>
      </c>
      <c r="H220" s="3" t="str">
        <f t="shared" si="27"/>
        <v/>
      </c>
      <c r="J220" s="3"/>
      <c r="K220" s="3"/>
      <c r="L220" s="3"/>
    </row>
    <row r="221" spans="2:12" x14ac:dyDescent="0.2">
      <c r="B221" s="2" t="str">
        <f t="shared" si="21"/>
        <v>-</v>
      </c>
      <c r="C221" s="5" t="str">
        <f t="shared" si="22"/>
        <v/>
      </c>
      <c r="D221" s="3" t="str">
        <f t="shared" si="23"/>
        <v/>
      </c>
      <c r="E221" s="3" t="str">
        <f t="shared" si="24"/>
        <v/>
      </c>
      <c r="F221" s="3" t="str">
        <f t="shared" si="25"/>
        <v/>
      </c>
      <c r="G221" s="3" t="str">
        <f t="shared" si="26"/>
        <v/>
      </c>
      <c r="H221" s="3" t="str">
        <f t="shared" si="27"/>
        <v/>
      </c>
      <c r="J221" s="3"/>
      <c r="K221" s="3"/>
      <c r="L221" s="3"/>
    </row>
    <row r="222" spans="2:12" x14ac:dyDescent="0.2">
      <c r="B222" s="2" t="str">
        <f t="shared" si="21"/>
        <v>-</v>
      </c>
      <c r="C222" s="5" t="str">
        <f t="shared" si="22"/>
        <v/>
      </c>
      <c r="D222" s="3" t="str">
        <f t="shared" si="23"/>
        <v/>
      </c>
      <c r="E222" s="3" t="str">
        <f t="shared" si="24"/>
        <v/>
      </c>
      <c r="F222" s="3" t="str">
        <f t="shared" si="25"/>
        <v/>
      </c>
      <c r="G222" s="3" t="str">
        <f t="shared" si="26"/>
        <v/>
      </c>
      <c r="H222" s="3" t="str">
        <f t="shared" si="27"/>
        <v/>
      </c>
      <c r="J222" s="3"/>
      <c r="K222" s="3"/>
      <c r="L222" s="3"/>
    </row>
    <row r="223" spans="2:12" x14ac:dyDescent="0.2">
      <c r="B223" s="2" t="str">
        <f t="shared" si="21"/>
        <v>-</v>
      </c>
      <c r="C223" s="5" t="str">
        <f t="shared" si="22"/>
        <v/>
      </c>
      <c r="D223" s="3" t="str">
        <f t="shared" si="23"/>
        <v/>
      </c>
      <c r="E223" s="3" t="str">
        <f t="shared" si="24"/>
        <v/>
      </c>
      <c r="F223" s="3" t="str">
        <f t="shared" si="25"/>
        <v/>
      </c>
      <c r="G223" s="3" t="str">
        <f t="shared" si="26"/>
        <v/>
      </c>
      <c r="H223" s="3" t="str">
        <f t="shared" si="27"/>
        <v/>
      </c>
      <c r="J223" s="3"/>
      <c r="K223" s="3"/>
      <c r="L223" s="3"/>
    </row>
    <row r="224" spans="2:12" x14ac:dyDescent="0.2">
      <c r="B224" s="2" t="str">
        <f t="shared" si="21"/>
        <v>-</v>
      </c>
      <c r="C224" s="5" t="str">
        <f t="shared" si="22"/>
        <v/>
      </c>
      <c r="D224" s="3" t="str">
        <f t="shared" si="23"/>
        <v/>
      </c>
      <c r="E224" s="3" t="str">
        <f t="shared" si="24"/>
        <v/>
      </c>
      <c r="F224" s="3" t="str">
        <f t="shared" si="25"/>
        <v/>
      </c>
      <c r="G224" s="3" t="str">
        <f t="shared" si="26"/>
        <v/>
      </c>
      <c r="H224" s="3" t="str">
        <f t="shared" si="27"/>
        <v/>
      </c>
      <c r="J224" s="3"/>
      <c r="K224" s="3"/>
      <c r="L224" s="3"/>
    </row>
    <row r="225" spans="2:12" x14ac:dyDescent="0.2">
      <c r="B225" s="2" t="str">
        <f t="shared" si="21"/>
        <v>-</v>
      </c>
      <c r="C225" s="5" t="str">
        <f t="shared" si="22"/>
        <v/>
      </c>
      <c r="D225" s="3" t="str">
        <f t="shared" si="23"/>
        <v/>
      </c>
      <c r="E225" s="3" t="str">
        <f t="shared" si="24"/>
        <v/>
      </c>
      <c r="F225" s="3" t="str">
        <f t="shared" si="25"/>
        <v/>
      </c>
      <c r="G225" s="3" t="str">
        <f t="shared" si="26"/>
        <v/>
      </c>
      <c r="H225" s="3" t="str">
        <f t="shared" si="27"/>
        <v/>
      </c>
      <c r="J225" s="3"/>
      <c r="K225" s="3"/>
      <c r="L225" s="3"/>
    </row>
    <row r="226" spans="2:12" x14ac:dyDescent="0.2">
      <c r="B226" s="2" t="str">
        <f t="shared" si="21"/>
        <v>-</v>
      </c>
      <c r="C226" s="5" t="str">
        <f t="shared" si="22"/>
        <v/>
      </c>
      <c r="D226" s="3" t="str">
        <f t="shared" si="23"/>
        <v/>
      </c>
      <c r="E226" s="3" t="str">
        <f t="shared" si="24"/>
        <v/>
      </c>
      <c r="F226" s="3" t="str">
        <f t="shared" si="25"/>
        <v/>
      </c>
      <c r="G226" s="3" t="str">
        <f t="shared" si="26"/>
        <v/>
      </c>
      <c r="H226" s="3" t="str">
        <f t="shared" si="27"/>
        <v/>
      </c>
      <c r="J226" s="3"/>
      <c r="K226" s="3"/>
      <c r="L226" s="3"/>
    </row>
    <row r="227" spans="2:12" x14ac:dyDescent="0.2">
      <c r="B227" s="2" t="str">
        <f t="shared" si="21"/>
        <v>-</v>
      </c>
      <c r="C227" s="5" t="str">
        <f t="shared" si="22"/>
        <v/>
      </c>
      <c r="D227" s="3" t="str">
        <f t="shared" si="23"/>
        <v/>
      </c>
      <c r="E227" s="3" t="str">
        <f t="shared" si="24"/>
        <v/>
      </c>
      <c r="F227" s="3" t="str">
        <f t="shared" si="25"/>
        <v/>
      </c>
      <c r="G227" s="3" t="str">
        <f t="shared" si="26"/>
        <v/>
      </c>
      <c r="H227" s="3" t="str">
        <f t="shared" si="27"/>
        <v/>
      </c>
      <c r="J227" s="3"/>
      <c r="K227" s="3"/>
      <c r="L227" s="3"/>
    </row>
    <row r="228" spans="2:12" x14ac:dyDescent="0.2">
      <c r="B228" s="2" t="str">
        <f t="shared" si="21"/>
        <v>-</v>
      </c>
      <c r="C228" s="5" t="str">
        <f t="shared" si="22"/>
        <v/>
      </c>
      <c r="D228" s="3" t="str">
        <f t="shared" si="23"/>
        <v/>
      </c>
      <c r="E228" s="3" t="str">
        <f t="shared" si="24"/>
        <v/>
      </c>
      <c r="F228" s="3" t="str">
        <f t="shared" si="25"/>
        <v/>
      </c>
      <c r="G228" s="3" t="str">
        <f t="shared" si="26"/>
        <v/>
      </c>
      <c r="H228" s="3" t="str">
        <f t="shared" si="27"/>
        <v/>
      </c>
      <c r="J228" s="3"/>
      <c r="K228" s="3"/>
      <c r="L228" s="3"/>
    </row>
    <row r="229" spans="2:12" x14ac:dyDescent="0.2">
      <c r="B229" s="2" t="str">
        <f t="shared" si="21"/>
        <v>-</v>
      </c>
      <c r="C229" s="5" t="str">
        <f t="shared" si="22"/>
        <v/>
      </c>
      <c r="D229" s="3" t="str">
        <f t="shared" si="23"/>
        <v/>
      </c>
      <c r="E229" s="3" t="str">
        <f t="shared" si="24"/>
        <v/>
      </c>
      <c r="F229" s="3" t="str">
        <f t="shared" si="25"/>
        <v/>
      </c>
      <c r="G229" s="3" t="str">
        <f t="shared" si="26"/>
        <v/>
      </c>
      <c r="H229" s="3" t="str">
        <f t="shared" si="27"/>
        <v/>
      </c>
      <c r="J229" s="3"/>
      <c r="K229" s="3"/>
      <c r="L229" s="3"/>
    </row>
    <row r="230" spans="2:12" x14ac:dyDescent="0.2">
      <c r="B230" s="2" t="str">
        <f t="shared" si="21"/>
        <v>-</v>
      </c>
      <c r="C230" s="5" t="str">
        <f t="shared" si="22"/>
        <v/>
      </c>
      <c r="D230" s="3" t="str">
        <f t="shared" si="23"/>
        <v/>
      </c>
      <c r="E230" s="3" t="str">
        <f t="shared" si="24"/>
        <v/>
      </c>
      <c r="F230" s="3" t="str">
        <f t="shared" si="25"/>
        <v/>
      </c>
      <c r="G230" s="3" t="str">
        <f t="shared" si="26"/>
        <v/>
      </c>
      <c r="H230" s="3" t="str">
        <f t="shared" si="27"/>
        <v/>
      </c>
      <c r="J230" s="3"/>
      <c r="K230" s="3"/>
      <c r="L230" s="3"/>
    </row>
    <row r="231" spans="2:12" x14ac:dyDescent="0.2">
      <c r="B231" s="2" t="str">
        <f t="shared" si="21"/>
        <v>-</v>
      </c>
      <c r="C231" s="5" t="str">
        <f t="shared" si="22"/>
        <v/>
      </c>
      <c r="D231" s="3" t="str">
        <f t="shared" si="23"/>
        <v/>
      </c>
      <c r="E231" s="3" t="str">
        <f t="shared" si="24"/>
        <v/>
      </c>
      <c r="F231" s="3" t="str">
        <f t="shared" si="25"/>
        <v/>
      </c>
      <c r="G231" s="3" t="str">
        <f t="shared" si="26"/>
        <v/>
      </c>
      <c r="H231" s="3" t="str">
        <f t="shared" si="27"/>
        <v/>
      </c>
      <c r="J231" s="3"/>
      <c r="K231" s="3"/>
      <c r="L231" s="3"/>
    </row>
    <row r="232" spans="2:12" x14ac:dyDescent="0.2">
      <c r="B232" s="2" t="str">
        <f t="shared" si="21"/>
        <v>-</v>
      </c>
      <c r="C232" s="5" t="str">
        <f t="shared" si="22"/>
        <v/>
      </c>
      <c r="D232" s="3" t="str">
        <f t="shared" si="23"/>
        <v/>
      </c>
      <c r="E232" s="3" t="str">
        <f t="shared" si="24"/>
        <v/>
      </c>
      <c r="F232" s="3" t="str">
        <f t="shared" si="25"/>
        <v/>
      </c>
      <c r="G232" s="3" t="str">
        <f t="shared" si="26"/>
        <v/>
      </c>
      <c r="H232" s="3" t="str">
        <f t="shared" si="27"/>
        <v/>
      </c>
      <c r="J232" s="3"/>
      <c r="K232" s="3"/>
      <c r="L232" s="3"/>
    </row>
    <row r="233" spans="2:12" x14ac:dyDescent="0.2">
      <c r="B233" s="2" t="str">
        <f t="shared" si="21"/>
        <v>-</v>
      </c>
      <c r="C233" s="5" t="str">
        <f t="shared" si="22"/>
        <v/>
      </c>
      <c r="D233" s="3" t="str">
        <f t="shared" si="23"/>
        <v/>
      </c>
      <c r="E233" s="3" t="str">
        <f t="shared" si="24"/>
        <v/>
      </c>
      <c r="F233" s="3" t="str">
        <f t="shared" si="25"/>
        <v/>
      </c>
      <c r="G233" s="3" t="str">
        <f t="shared" si="26"/>
        <v/>
      </c>
      <c r="H233" s="3" t="str">
        <f t="shared" si="27"/>
        <v/>
      </c>
      <c r="J233" s="3"/>
      <c r="K233" s="3"/>
      <c r="L233" s="3"/>
    </row>
    <row r="234" spans="2:12" x14ac:dyDescent="0.2">
      <c r="B234" s="2" t="str">
        <f t="shared" si="21"/>
        <v>-</v>
      </c>
      <c r="C234" s="5" t="str">
        <f t="shared" si="22"/>
        <v/>
      </c>
      <c r="D234" s="3" t="str">
        <f t="shared" si="23"/>
        <v/>
      </c>
      <c r="E234" s="3" t="str">
        <f t="shared" si="24"/>
        <v/>
      </c>
      <c r="F234" s="3" t="str">
        <f t="shared" si="25"/>
        <v/>
      </c>
      <c r="G234" s="3" t="str">
        <f t="shared" si="26"/>
        <v/>
      </c>
      <c r="H234" s="3" t="str">
        <f t="shared" si="27"/>
        <v/>
      </c>
      <c r="J234" s="3"/>
      <c r="K234" s="3"/>
      <c r="L234" s="3"/>
    </row>
    <row r="235" spans="2:12" x14ac:dyDescent="0.2">
      <c r="B235" s="2" t="str">
        <f t="shared" si="21"/>
        <v>-</v>
      </c>
      <c r="C235" s="5" t="str">
        <f t="shared" si="22"/>
        <v/>
      </c>
      <c r="D235" s="3" t="str">
        <f t="shared" si="23"/>
        <v/>
      </c>
      <c r="E235" s="3" t="str">
        <f t="shared" si="24"/>
        <v/>
      </c>
      <c r="F235" s="3" t="str">
        <f t="shared" si="25"/>
        <v/>
      </c>
      <c r="G235" s="3" t="str">
        <f t="shared" si="26"/>
        <v/>
      </c>
      <c r="H235" s="3" t="str">
        <f t="shared" si="27"/>
        <v/>
      </c>
      <c r="J235" s="3"/>
      <c r="K235" s="3"/>
      <c r="L235" s="3"/>
    </row>
    <row r="236" spans="2:12" x14ac:dyDescent="0.2">
      <c r="B236" s="2" t="str">
        <f t="shared" si="21"/>
        <v>-</v>
      </c>
      <c r="C236" s="5" t="str">
        <f t="shared" si="22"/>
        <v/>
      </c>
      <c r="D236" s="3" t="str">
        <f t="shared" si="23"/>
        <v/>
      </c>
      <c r="E236" s="3" t="str">
        <f t="shared" si="24"/>
        <v/>
      </c>
      <c r="F236" s="3" t="str">
        <f t="shared" si="25"/>
        <v/>
      </c>
      <c r="G236" s="3" t="str">
        <f t="shared" si="26"/>
        <v/>
      </c>
      <c r="H236" s="3" t="str">
        <f t="shared" si="27"/>
        <v/>
      </c>
      <c r="J236" s="3"/>
      <c r="K236" s="3"/>
      <c r="L236" s="3"/>
    </row>
    <row r="237" spans="2:12" x14ac:dyDescent="0.2">
      <c r="B237" s="2" t="str">
        <f t="shared" si="21"/>
        <v>-</v>
      </c>
      <c r="C237" s="5" t="str">
        <f t="shared" si="22"/>
        <v/>
      </c>
      <c r="D237" s="3" t="str">
        <f t="shared" si="23"/>
        <v/>
      </c>
      <c r="E237" s="3" t="str">
        <f t="shared" si="24"/>
        <v/>
      </c>
      <c r="F237" s="3" t="str">
        <f t="shared" si="25"/>
        <v/>
      </c>
      <c r="G237" s="3" t="str">
        <f t="shared" si="26"/>
        <v/>
      </c>
      <c r="H237" s="3" t="str">
        <f t="shared" si="27"/>
        <v/>
      </c>
      <c r="J237" s="3"/>
      <c r="K237" s="3"/>
      <c r="L237" s="3"/>
    </row>
    <row r="238" spans="2:12" x14ac:dyDescent="0.2">
      <c r="B238" s="2" t="str">
        <f t="shared" si="21"/>
        <v>-</v>
      </c>
      <c r="C238" s="5" t="str">
        <f t="shared" si="22"/>
        <v/>
      </c>
      <c r="D238" s="3" t="str">
        <f t="shared" si="23"/>
        <v/>
      </c>
      <c r="E238" s="3" t="str">
        <f t="shared" si="24"/>
        <v/>
      </c>
      <c r="F238" s="3" t="str">
        <f t="shared" si="25"/>
        <v/>
      </c>
      <c r="G238" s="3" t="str">
        <f t="shared" si="26"/>
        <v/>
      </c>
      <c r="H238" s="3" t="str">
        <f t="shared" si="27"/>
        <v/>
      </c>
      <c r="J238" s="3"/>
      <c r="K238" s="3"/>
      <c r="L238" s="3"/>
    </row>
    <row r="239" spans="2:12" x14ac:dyDescent="0.2">
      <c r="B239" s="2" t="str">
        <f t="shared" si="21"/>
        <v>-</v>
      </c>
      <c r="C239" s="5" t="str">
        <f t="shared" si="22"/>
        <v/>
      </c>
      <c r="D239" s="3" t="str">
        <f t="shared" si="23"/>
        <v/>
      </c>
      <c r="E239" s="3" t="str">
        <f t="shared" si="24"/>
        <v/>
      </c>
      <c r="F239" s="3" t="str">
        <f t="shared" si="25"/>
        <v/>
      </c>
      <c r="G239" s="3" t="str">
        <f t="shared" si="26"/>
        <v/>
      </c>
      <c r="H239" s="3" t="str">
        <f t="shared" si="27"/>
        <v/>
      </c>
      <c r="J239" s="3"/>
      <c r="K239" s="3"/>
      <c r="L239" s="3"/>
    </row>
    <row r="240" spans="2:12" x14ac:dyDescent="0.2">
      <c r="B240" s="2" t="str">
        <f t="shared" si="21"/>
        <v>-</v>
      </c>
      <c r="C240" s="5" t="str">
        <f t="shared" si="22"/>
        <v/>
      </c>
      <c r="D240" s="3" t="str">
        <f t="shared" si="23"/>
        <v/>
      </c>
      <c r="E240" s="3" t="str">
        <f t="shared" si="24"/>
        <v/>
      </c>
      <c r="F240" s="3" t="str">
        <f t="shared" si="25"/>
        <v/>
      </c>
      <c r="G240" s="3" t="str">
        <f t="shared" si="26"/>
        <v/>
      </c>
      <c r="H240" s="3" t="str">
        <f t="shared" si="27"/>
        <v/>
      </c>
      <c r="J240" s="3"/>
      <c r="K240" s="3"/>
      <c r="L240" s="3"/>
    </row>
    <row r="241" spans="2:12" x14ac:dyDescent="0.2">
      <c r="B241" s="2" t="str">
        <f t="shared" si="21"/>
        <v>-</v>
      </c>
      <c r="C241" s="5" t="str">
        <f t="shared" si="22"/>
        <v/>
      </c>
      <c r="D241" s="3" t="str">
        <f t="shared" si="23"/>
        <v/>
      </c>
      <c r="E241" s="3" t="str">
        <f t="shared" si="24"/>
        <v/>
      </c>
      <c r="F241" s="3" t="str">
        <f t="shared" si="25"/>
        <v/>
      </c>
      <c r="G241" s="3" t="str">
        <f t="shared" si="26"/>
        <v/>
      </c>
      <c r="H241" s="3" t="str">
        <f t="shared" si="27"/>
        <v/>
      </c>
      <c r="J241" s="3"/>
      <c r="K241" s="3"/>
      <c r="L241" s="3"/>
    </row>
    <row r="242" spans="2:12" x14ac:dyDescent="0.2">
      <c r="B242" s="2" t="str">
        <f t="shared" si="21"/>
        <v>-</v>
      </c>
      <c r="C242" s="5" t="str">
        <f t="shared" si="22"/>
        <v/>
      </c>
      <c r="D242" s="3" t="str">
        <f t="shared" si="23"/>
        <v/>
      </c>
      <c r="E242" s="3" t="str">
        <f t="shared" si="24"/>
        <v/>
      </c>
      <c r="F242" s="3" t="str">
        <f t="shared" si="25"/>
        <v/>
      </c>
      <c r="G242" s="3" t="str">
        <f t="shared" si="26"/>
        <v/>
      </c>
      <c r="H242" s="3" t="str">
        <f t="shared" si="27"/>
        <v/>
      </c>
      <c r="J242" s="3"/>
      <c r="K242" s="3"/>
      <c r="L242" s="3"/>
    </row>
    <row r="243" spans="2:12" x14ac:dyDescent="0.2">
      <c r="B243" s="2" t="str">
        <f t="shared" si="21"/>
        <v>-</v>
      </c>
      <c r="C243" s="5" t="str">
        <f t="shared" si="22"/>
        <v/>
      </c>
      <c r="D243" s="3" t="str">
        <f t="shared" si="23"/>
        <v/>
      </c>
      <c r="E243" s="3" t="str">
        <f t="shared" si="24"/>
        <v/>
      </c>
      <c r="F243" s="3" t="str">
        <f t="shared" si="25"/>
        <v/>
      </c>
      <c r="G243" s="3" t="str">
        <f t="shared" si="26"/>
        <v/>
      </c>
      <c r="H243" s="3" t="str">
        <f t="shared" si="27"/>
        <v/>
      </c>
      <c r="J243" s="3"/>
      <c r="K243" s="3"/>
      <c r="L243" s="3"/>
    </row>
    <row r="244" spans="2:12" x14ac:dyDescent="0.2">
      <c r="B244" s="2" t="str">
        <f t="shared" si="21"/>
        <v>-</v>
      </c>
      <c r="C244" s="5" t="str">
        <f t="shared" si="22"/>
        <v/>
      </c>
      <c r="D244" s="3" t="str">
        <f t="shared" si="23"/>
        <v/>
      </c>
      <c r="E244" s="3" t="str">
        <f t="shared" si="24"/>
        <v/>
      </c>
      <c r="F244" s="3" t="str">
        <f t="shared" si="25"/>
        <v/>
      </c>
      <c r="G244" s="3" t="str">
        <f t="shared" si="26"/>
        <v/>
      </c>
      <c r="H244" s="3" t="str">
        <f t="shared" si="27"/>
        <v/>
      </c>
      <c r="J244" s="3"/>
      <c r="K244" s="3"/>
      <c r="L244" s="3"/>
    </row>
    <row r="245" spans="2:12" x14ac:dyDescent="0.2">
      <c r="B245" s="2" t="str">
        <f t="shared" si="21"/>
        <v>-</v>
      </c>
      <c r="C245" s="5" t="str">
        <f t="shared" si="22"/>
        <v/>
      </c>
      <c r="D245" s="3" t="str">
        <f t="shared" si="23"/>
        <v/>
      </c>
      <c r="E245" s="3" t="str">
        <f t="shared" si="24"/>
        <v/>
      </c>
      <c r="F245" s="3" t="str">
        <f t="shared" si="25"/>
        <v/>
      </c>
      <c r="G245" s="3" t="str">
        <f t="shared" si="26"/>
        <v/>
      </c>
      <c r="H245" s="3" t="str">
        <f t="shared" si="27"/>
        <v/>
      </c>
      <c r="J245" s="3"/>
      <c r="K245" s="3"/>
      <c r="L245" s="3"/>
    </row>
    <row r="246" spans="2:12" x14ac:dyDescent="0.2">
      <c r="B246" s="2" t="str">
        <f t="shared" si="21"/>
        <v>-</v>
      </c>
      <c r="C246" s="5" t="str">
        <f t="shared" si="22"/>
        <v/>
      </c>
      <c r="D246" s="3" t="str">
        <f t="shared" si="23"/>
        <v/>
      </c>
      <c r="E246" s="3" t="str">
        <f t="shared" si="24"/>
        <v/>
      </c>
      <c r="F246" s="3" t="str">
        <f t="shared" si="25"/>
        <v/>
      </c>
      <c r="G246" s="3" t="str">
        <f t="shared" si="26"/>
        <v/>
      </c>
      <c r="H246" s="3" t="str">
        <f t="shared" si="27"/>
        <v/>
      </c>
      <c r="J246" s="3"/>
      <c r="K246" s="3"/>
      <c r="L246" s="3"/>
    </row>
    <row r="247" spans="2:12" x14ac:dyDescent="0.2">
      <c r="B247" s="2" t="str">
        <f t="shared" si="21"/>
        <v>-</v>
      </c>
      <c r="C247" s="5" t="str">
        <f t="shared" si="22"/>
        <v/>
      </c>
      <c r="D247" s="3" t="str">
        <f t="shared" si="23"/>
        <v/>
      </c>
      <c r="E247" s="3" t="str">
        <f t="shared" si="24"/>
        <v/>
      </c>
      <c r="F247" s="3" t="str">
        <f t="shared" si="25"/>
        <v/>
      </c>
      <c r="G247" s="3" t="str">
        <f t="shared" si="26"/>
        <v/>
      </c>
      <c r="H247" s="3" t="str">
        <f t="shared" si="27"/>
        <v/>
      </c>
      <c r="J247" s="3"/>
      <c r="K247" s="3"/>
      <c r="L247" s="3"/>
    </row>
    <row r="248" spans="2:12" x14ac:dyDescent="0.2">
      <c r="B248" s="2" t="str">
        <f t="shared" si="21"/>
        <v>-</v>
      </c>
      <c r="C248" s="5" t="str">
        <f t="shared" si="22"/>
        <v/>
      </c>
      <c r="D248" s="3" t="str">
        <f t="shared" si="23"/>
        <v/>
      </c>
      <c r="E248" s="3" t="str">
        <f t="shared" si="24"/>
        <v/>
      </c>
      <c r="F248" s="3" t="str">
        <f t="shared" si="25"/>
        <v/>
      </c>
      <c r="G248" s="3" t="str">
        <f t="shared" si="26"/>
        <v/>
      </c>
      <c r="H248" s="3" t="str">
        <f t="shared" si="27"/>
        <v/>
      </c>
      <c r="J248" s="3"/>
      <c r="K248" s="3"/>
      <c r="L248" s="3"/>
    </row>
    <row r="249" spans="2:12" x14ac:dyDescent="0.2">
      <c r="B249" s="2" t="str">
        <f t="shared" si="21"/>
        <v>-</v>
      </c>
      <c r="C249" s="5" t="str">
        <f t="shared" si="22"/>
        <v/>
      </c>
      <c r="D249" s="3" t="str">
        <f t="shared" si="23"/>
        <v/>
      </c>
      <c r="E249" s="3" t="str">
        <f t="shared" si="24"/>
        <v/>
      </c>
      <c r="F249" s="3" t="str">
        <f t="shared" si="25"/>
        <v/>
      </c>
      <c r="G249" s="3" t="str">
        <f t="shared" si="26"/>
        <v/>
      </c>
      <c r="H249" s="3" t="str">
        <f t="shared" si="27"/>
        <v/>
      </c>
      <c r="J249" s="3"/>
      <c r="K249" s="3"/>
      <c r="L249" s="3"/>
    </row>
    <row r="250" spans="2:12" x14ac:dyDescent="0.2">
      <c r="B250" s="2" t="str">
        <f t="shared" si="21"/>
        <v>-</v>
      </c>
      <c r="C250" s="5" t="str">
        <f t="shared" si="22"/>
        <v/>
      </c>
      <c r="D250" s="3" t="str">
        <f t="shared" si="23"/>
        <v/>
      </c>
      <c r="E250" s="3" t="str">
        <f t="shared" si="24"/>
        <v/>
      </c>
      <c r="F250" s="3" t="str">
        <f t="shared" si="25"/>
        <v/>
      </c>
      <c r="G250" s="3" t="str">
        <f t="shared" si="26"/>
        <v/>
      </c>
      <c r="H250" s="3" t="str">
        <f t="shared" si="27"/>
        <v/>
      </c>
      <c r="J250" s="3"/>
      <c r="K250" s="3"/>
      <c r="L250" s="3"/>
    </row>
    <row r="251" spans="2:12" x14ac:dyDescent="0.2">
      <c r="B251" s="2" t="str">
        <f t="shared" si="21"/>
        <v>-</v>
      </c>
      <c r="C251" s="5" t="str">
        <f t="shared" si="22"/>
        <v/>
      </c>
      <c r="D251" s="3" t="str">
        <f t="shared" si="23"/>
        <v/>
      </c>
      <c r="E251" s="3" t="str">
        <f t="shared" si="24"/>
        <v/>
      </c>
      <c r="F251" s="3" t="str">
        <f t="shared" si="25"/>
        <v/>
      </c>
      <c r="G251" s="3" t="str">
        <f t="shared" si="26"/>
        <v/>
      </c>
      <c r="H251" s="3" t="str">
        <f t="shared" si="27"/>
        <v/>
      </c>
      <c r="J251" s="3"/>
      <c r="K251" s="3"/>
      <c r="L251" s="3"/>
    </row>
    <row r="252" spans="2:12" x14ac:dyDescent="0.2">
      <c r="B252" s="2" t="str">
        <f t="shared" si="21"/>
        <v>-</v>
      </c>
      <c r="C252" s="5" t="str">
        <f t="shared" si="22"/>
        <v/>
      </c>
      <c r="D252" s="3" t="str">
        <f t="shared" si="23"/>
        <v/>
      </c>
      <c r="E252" s="3" t="str">
        <f t="shared" si="24"/>
        <v/>
      </c>
      <c r="F252" s="3" t="str">
        <f t="shared" si="25"/>
        <v/>
      </c>
      <c r="G252" s="3" t="str">
        <f t="shared" si="26"/>
        <v/>
      </c>
      <c r="H252" s="3" t="str">
        <f t="shared" si="27"/>
        <v/>
      </c>
      <c r="J252" s="3"/>
      <c r="K252" s="3"/>
      <c r="L252" s="3"/>
    </row>
    <row r="253" spans="2:12" x14ac:dyDescent="0.2">
      <c r="B253" s="2" t="str">
        <f t="shared" si="21"/>
        <v>-</v>
      </c>
      <c r="C253" s="5" t="str">
        <f t="shared" si="22"/>
        <v/>
      </c>
      <c r="D253" s="3" t="str">
        <f t="shared" si="23"/>
        <v/>
      </c>
      <c r="E253" s="3" t="str">
        <f t="shared" si="24"/>
        <v/>
      </c>
      <c r="F253" s="3" t="str">
        <f t="shared" si="25"/>
        <v/>
      </c>
      <c r="G253" s="3" t="str">
        <f t="shared" si="26"/>
        <v/>
      </c>
      <c r="H253" s="3" t="str">
        <f t="shared" si="27"/>
        <v/>
      </c>
      <c r="J253" s="3"/>
      <c r="K253" s="3"/>
      <c r="L253" s="3"/>
    </row>
    <row r="254" spans="2:12" x14ac:dyDescent="0.2">
      <c r="B254" s="2" t="str">
        <f t="shared" si="21"/>
        <v>-</v>
      </c>
      <c r="C254" s="5" t="str">
        <f t="shared" si="22"/>
        <v/>
      </c>
      <c r="D254" s="3" t="str">
        <f t="shared" si="23"/>
        <v/>
      </c>
      <c r="E254" s="3" t="str">
        <f t="shared" si="24"/>
        <v/>
      </c>
      <c r="F254" s="3" t="str">
        <f t="shared" si="25"/>
        <v/>
      </c>
      <c r="G254" s="3" t="str">
        <f t="shared" si="26"/>
        <v/>
      </c>
      <c r="H254" s="3" t="str">
        <f t="shared" si="27"/>
        <v/>
      </c>
      <c r="J254" s="3"/>
      <c r="K254" s="3"/>
      <c r="L254" s="3"/>
    </row>
    <row r="255" spans="2:12" x14ac:dyDescent="0.2">
      <c r="B255" s="2" t="str">
        <f t="shared" si="21"/>
        <v>-</v>
      </c>
      <c r="C255" s="5" t="str">
        <f t="shared" si="22"/>
        <v/>
      </c>
      <c r="D255" s="3" t="str">
        <f t="shared" si="23"/>
        <v/>
      </c>
      <c r="E255" s="3" t="str">
        <f t="shared" si="24"/>
        <v/>
      </c>
      <c r="F255" s="3" t="str">
        <f t="shared" si="25"/>
        <v/>
      </c>
      <c r="G255" s="3" t="str">
        <f t="shared" si="26"/>
        <v/>
      </c>
      <c r="H255" s="3" t="str">
        <f t="shared" si="27"/>
        <v/>
      </c>
      <c r="J255" s="3"/>
      <c r="K255" s="3"/>
      <c r="L255" s="3"/>
    </row>
    <row r="256" spans="2:12" x14ac:dyDescent="0.2">
      <c r="B256" s="2" t="str">
        <f t="shared" si="21"/>
        <v>-</v>
      </c>
      <c r="C256" s="5" t="str">
        <f t="shared" si="22"/>
        <v/>
      </c>
      <c r="D256" s="3" t="str">
        <f t="shared" si="23"/>
        <v/>
      </c>
      <c r="E256" s="3" t="str">
        <f t="shared" si="24"/>
        <v/>
      </c>
      <c r="F256" s="3" t="str">
        <f t="shared" si="25"/>
        <v/>
      </c>
      <c r="G256" s="3" t="str">
        <f t="shared" si="26"/>
        <v/>
      </c>
      <c r="H256" s="3" t="str">
        <f t="shared" si="27"/>
        <v/>
      </c>
      <c r="J256" s="3"/>
      <c r="K256" s="3"/>
      <c r="L256" s="3"/>
    </row>
    <row r="257" spans="2:12" x14ac:dyDescent="0.2">
      <c r="B257" s="2" t="str">
        <f t="shared" si="21"/>
        <v>-</v>
      </c>
      <c r="C257" s="5" t="str">
        <f t="shared" si="22"/>
        <v/>
      </c>
      <c r="D257" s="3" t="str">
        <f t="shared" si="23"/>
        <v/>
      </c>
      <c r="E257" s="3" t="str">
        <f t="shared" si="24"/>
        <v/>
      </c>
      <c r="F257" s="3" t="str">
        <f t="shared" si="25"/>
        <v/>
      </c>
      <c r="G257" s="3" t="str">
        <f t="shared" si="26"/>
        <v/>
      </c>
      <c r="H257" s="3" t="str">
        <f t="shared" si="27"/>
        <v/>
      </c>
      <c r="J257" s="3"/>
      <c r="K257" s="3"/>
      <c r="L257" s="3"/>
    </row>
    <row r="258" spans="2:12" x14ac:dyDescent="0.2">
      <c r="B258" s="2" t="str">
        <f t="shared" si="21"/>
        <v>-</v>
      </c>
      <c r="C258" s="5" t="str">
        <f t="shared" si="22"/>
        <v/>
      </c>
      <c r="D258" s="3" t="str">
        <f t="shared" si="23"/>
        <v/>
      </c>
      <c r="E258" s="3" t="str">
        <f t="shared" si="24"/>
        <v/>
      </c>
      <c r="F258" s="3" t="str">
        <f t="shared" si="25"/>
        <v/>
      </c>
      <c r="G258" s="3" t="str">
        <f t="shared" si="26"/>
        <v/>
      </c>
      <c r="H258" s="3" t="str">
        <f t="shared" si="27"/>
        <v/>
      </c>
      <c r="J258" s="3"/>
      <c r="K258" s="3"/>
      <c r="L258" s="3"/>
    </row>
    <row r="259" spans="2:12" x14ac:dyDescent="0.2">
      <c r="B259" s="2" t="str">
        <f t="shared" si="21"/>
        <v>-</v>
      </c>
      <c r="C259" s="5" t="str">
        <f t="shared" si="22"/>
        <v/>
      </c>
      <c r="D259" s="3" t="str">
        <f t="shared" si="23"/>
        <v/>
      </c>
      <c r="E259" s="3" t="str">
        <f t="shared" si="24"/>
        <v/>
      </c>
      <c r="F259" s="3" t="str">
        <f t="shared" si="25"/>
        <v/>
      </c>
      <c r="G259" s="3" t="str">
        <f t="shared" si="26"/>
        <v/>
      </c>
      <c r="H259" s="3" t="str">
        <f t="shared" si="27"/>
        <v/>
      </c>
      <c r="J259" s="3"/>
      <c r="K259" s="3"/>
      <c r="L259" s="3"/>
    </row>
    <row r="260" spans="2:12" x14ac:dyDescent="0.2">
      <c r="B260" s="2" t="str">
        <f t="shared" si="21"/>
        <v>-</v>
      </c>
      <c r="C260" s="5" t="str">
        <f t="shared" si="22"/>
        <v/>
      </c>
      <c r="D260" s="3" t="str">
        <f t="shared" si="23"/>
        <v/>
      </c>
      <c r="E260" s="3" t="str">
        <f t="shared" si="24"/>
        <v/>
      </c>
      <c r="F260" s="3" t="str">
        <f t="shared" si="25"/>
        <v/>
      </c>
      <c r="G260" s="3" t="str">
        <f t="shared" si="26"/>
        <v/>
      </c>
      <c r="H260" s="3" t="str">
        <f t="shared" si="27"/>
        <v/>
      </c>
      <c r="J260" s="3"/>
      <c r="K260" s="3"/>
      <c r="L260" s="3"/>
    </row>
    <row r="261" spans="2:12" x14ac:dyDescent="0.2">
      <c r="B261" s="2" t="str">
        <f t="shared" si="21"/>
        <v>-</v>
      </c>
      <c r="C261" s="5" t="str">
        <f t="shared" si="22"/>
        <v/>
      </c>
      <c r="D261" s="3" t="str">
        <f t="shared" si="23"/>
        <v/>
      </c>
      <c r="E261" s="3" t="str">
        <f t="shared" si="24"/>
        <v/>
      </c>
      <c r="F261" s="3" t="str">
        <f t="shared" si="25"/>
        <v/>
      </c>
      <c r="G261" s="3" t="str">
        <f t="shared" si="26"/>
        <v/>
      </c>
      <c r="H261" s="3" t="str">
        <f t="shared" si="27"/>
        <v/>
      </c>
      <c r="J261" s="3"/>
      <c r="K261" s="3"/>
      <c r="L261" s="3"/>
    </row>
    <row r="262" spans="2:12" x14ac:dyDescent="0.2">
      <c r="B262" s="2" t="str">
        <f t="shared" si="21"/>
        <v>-</v>
      </c>
      <c r="C262" s="5" t="str">
        <f t="shared" si="22"/>
        <v/>
      </c>
      <c r="D262" s="3" t="str">
        <f t="shared" si="23"/>
        <v/>
      </c>
      <c r="E262" s="3" t="str">
        <f t="shared" si="24"/>
        <v/>
      </c>
      <c r="F262" s="3" t="str">
        <f t="shared" si="25"/>
        <v/>
      </c>
      <c r="G262" s="3" t="str">
        <f t="shared" si="26"/>
        <v/>
      </c>
      <c r="H262" s="3" t="str">
        <f t="shared" si="27"/>
        <v/>
      </c>
      <c r="J262" s="3"/>
      <c r="K262" s="3"/>
      <c r="L262" s="3"/>
    </row>
    <row r="263" spans="2:12" x14ac:dyDescent="0.2">
      <c r="B263" s="2" t="str">
        <f t="shared" si="21"/>
        <v>-</v>
      </c>
      <c r="C263" s="5" t="str">
        <f t="shared" si="22"/>
        <v/>
      </c>
      <c r="D263" s="3" t="str">
        <f t="shared" si="23"/>
        <v/>
      </c>
      <c r="E263" s="3" t="str">
        <f t="shared" si="24"/>
        <v/>
      </c>
      <c r="F263" s="3" t="str">
        <f t="shared" si="25"/>
        <v/>
      </c>
      <c r="G263" s="3" t="str">
        <f t="shared" si="26"/>
        <v/>
      </c>
      <c r="H263" s="3" t="str">
        <f t="shared" si="27"/>
        <v/>
      </c>
      <c r="J263" s="3"/>
      <c r="K263" s="3"/>
      <c r="L263" s="3"/>
    </row>
    <row r="264" spans="2:12" x14ac:dyDescent="0.2">
      <c r="B264" s="2" t="str">
        <f t="shared" si="21"/>
        <v>-</v>
      </c>
      <c r="C264" s="5" t="str">
        <f t="shared" si="22"/>
        <v/>
      </c>
      <c r="D264" s="3" t="str">
        <f t="shared" si="23"/>
        <v/>
      </c>
      <c r="E264" s="3" t="str">
        <f t="shared" si="24"/>
        <v/>
      </c>
      <c r="F264" s="3" t="str">
        <f t="shared" si="25"/>
        <v/>
      </c>
      <c r="G264" s="3" t="str">
        <f t="shared" si="26"/>
        <v/>
      </c>
      <c r="H264" s="3" t="str">
        <f t="shared" si="27"/>
        <v/>
      </c>
      <c r="J264" s="3"/>
      <c r="K264" s="3"/>
      <c r="L264" s="3"/>
    </row>
    <row r="265" spans="2:12" x14ac:dyDescent="0.2">
      <c r="B265" s="2" t="str">
        <f t="shared" si="21"/>
        <v>-</v>
      </c>
      <c r="C265" s="5" t="str">
        <f t="shared" si="22"/>
        <v/>
      </c>
      <c r="D265" s="3" t="str">
        <f t="shared" si="23"/>
        <v/>
      </c>
      <c r="E265" s="3" t="str">
        <f t="shared" si="24"/>
        <v/>
      </c>
      <c r="F265" s="3" t="str">
        <f t="shared" si="25"/>
        <v/>
      </c>
      <c r="G265" s="3" t="str">
        <f t="shared" si="26"/>
        <v/>
      </c>
      <c r="H265" s="3" t="str">
        <f t="shared" si="27"/>
        <v/>
      </c>
      <c r="J265" s="3"/>
      <c r="K265" s="3"/>
      <c r="L265" s="3"/>
    </row>
    <row r="266" spans="2:12" x14ac:dyDescent="0.2">
      <c r="B266" s="2" t="str">
        <f t="shared" si="21"/>
        <v>-</v>
      </c>
      <c r="C266" s="5" t="str">
        <f t="shared" si="22"/>
        <v/>
      </c>
      <c r="D266" s="3" t="str">
        <f t="shared" si="23"/>
        <v/>
      </c>
      <c r="E266" s="3" t="str">
        <f t="shared" si="24"/>
        <v/>
      </c>
      <c r="F266" s="3" t="str">
        <f t="shared" si="25"/>
        <v/>
      </c>
      <c r="G266" s="3" t="str">
        <f t="shared" si="26"/>
        <v/>
      </c>
      <c r="H266" s="3" t="str">
        <f t="shared" si="27"/>
        <v/>
      </c>
      <c r="J266" s="3"/>
      <c r="K266" s="3"/>
      <c r="L266" s="3"/>
    </row>
    <row r="267" spans="2:12" x14ac:dyDescent="0.2">
      <c r="B267" s="2" t="str">
        <f t="shared" ref="B267:B330" si="28">IF(B266&lt;$L$2,B266+1,"-")</f>
        <v>-</v>
      </c>
      <c r="C267" s="5" t="str">
        <f t="shared" ref="C267:C330" si="29">IF(ISNUMBER(B267),MIN(DATE(YEAR($C$10),MONTH($C$10)+B267*12/$P$4,DAY($C$10)),DATE(YEAR($C$10),MONTH($C$10)+1+B267*12/$P$4,1)-1),"")</f>
        <v/>
      </c>
      <c r="D267" s="3" t="str">
        <f t="shared" ref="D267:D330" si="30">IF(ISNUMBER(B267),D266-F266,"")</f>
        <v/>
      </c>
      <c r="E267" s="3" t="str">
        <f t="shared" ref="E267:E330" si="31">IF(ISNUMBER(B267),ROUND(D267*$L$6,$R$5),"")</f>
        <v/>
      </c>
      <c r="F267" s="3" t="str">
        <f t="shared" ref="F267:F330" si="32">IF(ISNUMBER(B267),IF(B267=$L$2,D267,IF(B267&gt;$L$3,$H$2-E267,0)),"")</f>
        <v/>
      </c>
      <c r="G267" s="3" t="str">
        <f t="shared" ref="G267:G330" si="33">IF(ISNUMBER(B267),$H$3,"")</f>
        <v/>
      </c>
      <c r="H267" s="3" t="str">
        <f t="shared" ref="H267:H330" si="34">IF(ISNUMBER(B267),E267+F267+G267,"")</f>
        <v/>
      </c>
      <c r="J267" s="3"/>
      <c r="K267" s="3"/>
      <c r="L267" s="3"/>
    </row>
    <row r="268" spans="2:12" x14ac:dyDescent="0.2">
      <c r="B268" s="2" t="str">
        <f t="shared" si="28"/>
        <v>-</v>
      </c>
      <c r="C268" s="5" t="str">
        <f t="shared" si="29"/>
        <v/>
      </c>
      <c r="D268" s="3" t="str">
        <f t="shared" si="30"/>
        <v/>
      </c>
      <c r="E268" s="3" t="str">
        <f t="shared" si="31"/>
        <v/>
      </c>
      <c r="F268" s="3" t="str">
        <f t="shared" si="32"/>
        <v/>
      </c>
      <c r="G268" s="3" t="str">
        <f t="shared" si="33"/>
        <v/>
      </c>
      <c r="H268" s="3" t="str">
        <f t="shared" si="34"/>
        <v/>
      </c>
      <c r="J268" s="3"/>
      <c r="K268" s="3"/>
      <c r="L268" s="3"/>
    </row>
    <row r="269" spans="2:12" x14ac:dyDescent="0.2">
      <c r="B269" s="2" t="str">
        <f t="shared" si="28"/>
        <v>-</v>
      </c>
      <c r="C269" s="5" t="str">
        <f t="shared" si="29"/>
        <v/>
      </c>
      <c r="D269" s="3" t="str">
        <f t="shared" si="30"/>
        <v/>
      </c>
      <c r="E269" s="3" t="str">
        <f t="shared" si="31"/>
        <v/>
      </c>
      <c r="F269" s="3" t="str">
        <f t="shared" si="32"/>
        <v/>
      </c>
      <c r="G269" s="3" t="str">
        <f t="shared" si="33"/>
        <v/>
      </c>
      <c r="H269" s="3" t="str">
        <f t="shared" si="34"/>
        <v/>
      </c>
      <c r="J269" s="3"/>
      <c r="K269" s="3"/>
      <c r="L269" s="3"/>
    </row>
    <row r="270" spans="2:12" x14ac:dyDescent="0.2">
      <c r="B270" s="2" t="str">
        <f t="shared" si="28"/>
        <v>-</v>
      </c>
      <c r="C270" s="5" t="str">
        <f t="shared" si="29"/>
        <v/>
      </c>
      <c r="D270" s="3" t="str">
        <f t="shared" si="30"/>
        <v/>
      </c>
      <c r="E270" s="3" t="str">
        <f t="shared" si="31"/>
        <v/>
      </c>
      <c r="F270" s="3" t="str">
        <f t="shared" si="32"/>
        <v/>
      </c>
      <c r="G270" s="3" t="str">
        <f t="shared" si="33"/>
        <v/>
      </c>
      <c r="H270" s="3" t="str">
        <f t="shared" si="34"/>
        <v/>
      </c>
      <c r="J270" s="3"/>
      <c r="K270" s="3"/>
      <c r="L270" s="3"/>
    </row>
    <row r="271" spans="2:12" x14ac:dyDescent="0.2">
      <c r="B271" s="2" t="str">
        <f t="shared" si="28"/>
        <v>-</v>
      </c>
      <c r="C271" s="5" t="str">
        <f t="shared" si="29"/>
        <v/>
      </c>
      <c r="D271" s="3" t="str">
        <f t="shared" si="30"/>
        <v/>
      </c>
      <c r="E271" s="3" t="str">
        <f t="shared" si="31"/>
        <v/>
      </c>
      <c r="F271" s="3" t="str">
        <f t="shared" si="32"/>
        <v/>
      </c>
      <c r="G271" s="3" t="str">
        <f t="shared" si="33"/>
        <v/>
      </c>
      <c r="H271" s="3" t="str">
        <f t="shared" si="34"/>
        <v/>
      </c>
      <c r="J271" s="3"/>
      <c r="K271" s="3"/>
      <c r="L271" s="3"/>
    </row>
    <row r="272" spans="2:12" x14ac:dyDescent="0.2">
      <c r="B272" s="2" t="str">
        <f t="shared" si="28"/>
        <v>-</v>
      </c>
      <c r="C272" s="5" t="str">
        <f t="shared" si="29"/>
        <v/>
      </c>
      <c r="D272" s="3" t="str">
        <f t="shared" si="30"/>
        <v/>
      </c>
      <c r="E272" s="3" t="str">
        <f t="shared" si="31"/>
        <v/>
      </c>
      <c r="F272" s="3" t="str">
        <f t="shared" si="32"/>
        <v/>
      </c>
      <c r="G272" s="3" t="str">
        <f t="shared" si="33"/>
        <v/>
      </c>
      <c r="H272" s="3" t="str">
        <f t="shared" si="34"/>
        <v/>
      </c>
      <c r="J272" s="3"/>
      <c r="K272" s="3"/>
      <c r="L272" s="3"/>
    </row>
    <row r="273" spans="2:12" x14ac:dyDescent="0.2">
      <c r="B273" s="2" t="str">
        <f t="shared" si="28"/>
        <v>-</v>
      </c>
      <c r="C273" s="5" t="str">
        <f t="shared" si="29"/>
        <v/>
      </c>
      <c r="D273" s="3" t="str">
        <f t="shared" si="30"/>
        <v/>
      </c>
      <c r="E273" s="3" t="str">
        <f t="shared" si="31"/>
        <v/>
      </c>
      <c r="F273" s="3" t="str">
        <f t="shared" si="32"/>
        <v/>
      </c>
      <c r="G273" s="3" t="str">
        <f t="shared" si="33"/>
        <v/>
      </c>
      <c r="H273" s="3" t="str">
        <f t="shared" si="34"/>
        <v/>
      </c>
      <c r="J273" s="3"/>
      <c r="K273" s="3"/>
      <c r="L273" s="3"/>
    </row>
    <row r="274" spans="2:12" x14ac:dyDescent="0.2">
      <c r="B274" s="2" t="str">
        <f t="shared" si="28"/>
        <v>-</v>
      </c>
      <c r="C274" s="5" t="str">
        <f t="shared" si="29"/>
        <v/>
      </c>
      <c r="D274" s="3" t="str">
        <f t="shared" si="30"/>
        <v/>
      </c>
      <c r="E274" s="3" t="str">
        <f t="shared" si="31"/>
        <v/>
      </c>
      <c r="F274" s="3" t="str">
        <f t="shared" si="32"/>
        <v/>
      </c>
      <c r="G274" s="3" t="str">
        <f t="shared" si="33"/>
        <v/>
      </c>
      <c r="H274" s="3" t="str">
        <f t="shared" si="34"/>
        <v/>
      </c>
      <c r="J274" s="3"/>
      <c r="K274" s="3"/>
      <c r="L274" s="3"/>
    </row>
    <row r="275" spans="2:12" x14ac:dyDescent="0.2">
      <c r="B275" s="2" t="str">
        <f t="shared" si="28"/>
        <v>-</v>
      </c>
      <c r="C275" s="5" t="str">
        <f t="shared" si="29"/>
        <v/>
      </c>
      <c r="D275" s="3" t="str">
        <f t="shared" si="30"/>
        <v/>
      </c>
      <c r="E275" s="3" t="str">
        <f t="shared" si="31"/>
        <v/>
      </c>
      <c r="F275" s="3" t="str">
        <f t="shared" si="32"/>
        <v/>
      </c>
      <c r="G275" s="3" t="str">
        <f t="shared" si="33"/>
        <v/>
      </c>
      <c r="H275" s="3" t="str">
        <f t="shared" si="34"/>
        <v/>
      </c>
      <c r="J275" s="3"/>
      <c r="K275" s="3"/>
      <c r="L275" s="3"/>
    </row>
    <row r="276" spans="2:12" x14ac:dyDescent="0.2">
      <c r="B276" s="2" t="str">
        <f t="shared" si="28"/>
        <v>-</v>
      </c>
      <c r="C276" s="5" t="str">
        <f t="shared" si="29"/>
        <v/>
      </c>
      <c r="D276" s="3" t="str">
        <f t="shared" si="30"/>
        <v/>
      </c>
      <c r="E276" s="3" t="str">
        <f t="shared" si="31"/>
        <v/>
      </c>
      <c r="F276" s="3" t="str">
        <f t="shared" si="32"/>
        <v/>
      </c>
      <c r="G276" s="3" t="str">
        <f t="shared" si="33"/>
        <v/>
      </c>
      <c r="H276" s="3" t="str">
        <f t="shared" si="34"/>
        <v/>
      </c>
      <c r="J276" s="3"/>
      <c r="K276" s="3"/>
      <c r="L276" s="3"/>
    </row>
    <row r="277" spans="2:12" x14ac:dyDescent="0.2">
      <c r="B277" s="2" t="str">
        <f t="shared" si="28"/>
        <v>-</v>
      </c>
      <c r="C277" s="5" t="str">
        <f t="shared" si="29"/>
        <v/>
      </c>
      <c r="D277" s="3" t="str">
        <f t="shared" si="30"/>
        <v/>
      </c>
      <c r="E277" s="3" t="str">
        <f t="shared" si="31"/>
        <v/>
      </c>
      <c r="F277" s="3" t="str">
        <f t="shared" si="32"/>
        <v/>
      </c>
      <c r="G277" s="3" t="str">
        <f t="shared" si="33"/>
        <v/>
      </c>
      <c r="H277" s="3" t="str">
        <f t="shared" si="34"/>
        <v/>
      </c>
      <c r="J277" s="3"/>
      <c r="K277" s="3"/>
      <c r="L277" s="3"/>
    </row>
    <row r="278" spans="2:12" x14ac:dyDescent="0.2">
      <c r="B278" s="2" t="str">
        <f t="shared" si="28"/>
        <v>-</v>
      </c>
      <c r="C278" s="5" t="str">
        <f t="shared" si="29"/>
        <v/>
      </c>
      <c r="D278" s="3" t="str">
        <f t="shared" si="30"/>
        <v/>
      </c>
      <c r="E278" s="3" t="str">
        <f t="shared" si="31"/>
        <v/>
      </c>
      <c r="F278" s="3" t="str">
        <f t="shared" si="32"/>
        <v/>
      </c>
      <c r="G278" s="3" t="str">
        <f t="shared" si="33"/>
        <v/>
      </c>
      <c r="H278" s="3" t="str">
        <f t="shared" si="34"/>
        <v/>
      </c>
      <c r="J278" s="3"/>
      <c r="K278" s="3"/>
      <c r="L278" s="3"/>
    </row>
    <row r="279" spans="2:12" x14ac:dyDescent="0.2">
      <c r="B279" s="2" t="str">
        <f t="shared" si="28"/>
        <v>-</v>
      </c>
      <c r="C279" s="5" t="str">
        <f t="shared" si="29"/>
        <v/>
      </c>
      <c r="D279" s="3" t="str">
        <f t="shared" si="30"/>
        <v/>
      </c>
      <c r="E279" s="3" t="str">
        <f t="shared" si="31"/>
        <v/>
      </c>
      <c r="F279" s="3" t="str">
        <f t="shared" si="32"/>
        <v/>
      </c>
      <c r="G279" s="3" t="str">
        <f t="shared" si="33"/>
        <v/>
      </c>
      <c r="H279" s="3" t="str">
        <f t="shared" si="34"/>
        <v/>
      </c>
      <c r="J279" s="3"/>
      <c r="K279" s="3"/>
      <c r="L279" s="3"/>
    </row>
    <row r="280" spans="2:12" x14ac:dyDescent="0.2">
      <c r="B280" s="2" t="str">
        <f t="shared" si="28"/>
        <v>-</v>
      </c>
      <c r="C280" s="5" t="str">
        <f t="shared" si="29"/>
        <v/>
      </c>
      <c r="D280" s="3" t="str">
        <f t="shared" si="30"/>
        <v/>
      </c>
      <c r="E280" s="3" t="str">
        <f t="shared" si="31"/>
        <v/>
      </c>
      <c r="F280" s="3" t="str">
        <f t="shared" si="32"/>
        <v/>
      </c>
      <c r="G280" s="3" t="str">
        <f t="shared" si="33"/>
        <v/>
      </c>
      <c r="H280" s="3" t="str">
        <f t="shared" si="34"/>
        <v/>
      </c>
      <c r="J280" s="3"/>
      <c r="K280" s="3"/>
      <c r="L280" s="3"/>
    </row>
    <row r="281" spans="2:12" x14ac:dyDescent="0.2">
      <c r="B281" s="2" t="str">
        <f t="shared" si="28"/>
        <v>-</v>
      </c>
      <c r="C281" s="5" t="str">
        <f t="shared" si="29"/>
        <v/>
      </c>
      <c r="D281" s="3" t="str">
        <f t="shared" si="30"/>
        <v/>
      </c>
      <c r="E281" s="3" t="str">
        <f t="shared" si="31"/>
        <v/>
      </c>
      <c r="F281" s="3" t="str">
        <f t="shared" si="32"/>
        <v/>
      </c>
      <c r="G281" s="3" t="str">
        <f t="shared" si="33"/>
        <v/>
      </c>
      <c r="H281" s="3" t="str">
        <f t="shared" si="34"/>
        <v/>
      </c>
      <c r="J281" s="3"/>
      <c r="K281" s="3"/>
      <c r="L281" s="3"/>
    </row>
    <row r="282" spans="2:12" x14ac:dyDescent="0.2">
      <c r="B282" s="2" t="str">
        <f t="shared" si="28"/>
        <v>-</v>
      </c>
      <c r="C282" s="5" t="str">
        <f t="shared" si="29"/>
        <v/>
      </c>
      <c r="D282" s="3" t="str">
        <f t="shared" si="30"/>
        <v/>
      </c>
      <c r="E282" s="3" t="str">
        <f t="shared" si="31"/>
        <v/>
      </c>
      <c r="F282" s="3" t="str">
        <f t="shared" si="32"/>
        <v/>
      </c>
      <c r="G282" s="3" t="str">
        <f t="shared" si="33"/>
        <v/>
      </c>
      <c r="H282" s="3" t="str">
        <f t="shared" si="34"/>
        <v/>
      </c>
      <c r="J282" s="3"/>
      <c r="K282" s="3"/>
      <c r="L282" s="3"/>
    </row>
    <row r="283" spans="2:12" x14ac:dyDescent="0.2">
      <c r="B283" s="2" t="str">
        <f t="shared" si="28"/>
        <v>-</v>
      </c>
      <c r="C283" s="5" t="str">
        <f t="shared" si="29"/>
        <v/>
      </c>
      <c r="D283" s="3" t="str">
        <f t="shared" si="30"/>
        <v/>
      </c>
      <c r="E283" s="3" t="str">
        <f t="shared" si="31"/>
        <v/>
      </c>
      <c r="F283" s="3" t="str">
        <f t="shared" si="32"/>
        <v/>
      </c>
      <c r="G283" s="3" t="str">
        <f t="shared" si="33"/>
        <v/>
      </c>
      <c r="H283" s="3" t="str">
        <f t="shared" si="34"/>
        <v/>
      </c>
      <c r="J283" s="3"/>
      <c r="K283" s="3"/>
      <c r="L283" s="3"/>
    </row>
    <row r="284" spans="2:12" x14ac:dyDescent="0.2">
      <c r="B284" s="2" t="str">
        <f t="shared" si="28"/>
        <v>-</v>
      </c>
      <c r="C284" s="5" t="str">
        <f t="shared" si="29"/>
        <v/>
      </c>
      <c r="D284" s="3" t="str">
        <f t="shared" si="30"/>
        <v/>
      </c>
      <c r="E284" s="3" t="str">
        <f t="shared" si="31"/>
        <v/>
      </c>
      <c r="F284" s="3" t="str">
        <f t="shared" si="32"/>
        <v/>
      </c>
      <c r="G284" s="3" t="str">
        <f t="shared" si="33"/>
        <v/>
      </c>
      <c r="H284" s="3" t="str">
        <f t="shared" si="34"/>
        <v/>
      </c>
      <c r="J284" s="3"/>
      <c r="K284" s="3"/>
      <c r="L284" s="3"/>
    </row>
    <row r="285" spans="2:12" x14ac:dyDescent="0.2">
      <c r="B285" s="2" t="str">
        <f t="shared" si="28"/>
        <v>-</v>
      </c>
      <c r="C285" s="5" t="str">
        <f t="shared" si="29"/>
        <v/>
      </c>
      <c r="D285" s="3" t="str">
        <f t="shared" si="30"/>
        <v/>
      </c>
      <c r="E285" s="3" t="str">
        <f t="shared" si="31"/>
        <v/>
      </c>
      <c r="F285" s="3" t="str">
        <f t="shared" si="32"/>
        <v/>
      </c>
      <c r="G285" s="3" t="str">
        <f t="shared" si="33"/>
        <v/>
      </c>
      <c r="H285" s="3" t="str">
        <f t="shared" si="34"/>
        <v/>
      </c>
      <c r="J285" s="3"/>
      <c r="K285" s="3"/>
      <c r="L285" s="3"/>
    </row>
    <row r="286" spans="2:12" x14ac:dyDescent="0.2">
      <c r="B286" s="2" t="str">
        <f t="shared" si="28"/>
        <v>-</v>
      </c>
      <c r="C286" s="5" t="str">
        <f t="shared" si="29"/>
        <v/>
      </c>
      <c r="D286" s="3" t="str">
        <f t="shared" si="30"/>
        <v/>
      </c>
      <c r="E286" s="3" t="str">
        <f t="shared" si="31"/>
        <v/>
      </c>
      <c r="F286" s="3" t="str">
        <f t="shared" si="32"/>
        <v/>
      </c>
      <c r="G286" s="3" t="str">
        <f t="shared" si="33"/>
        <v/>
      </c>
      <c r="H286" s="3" t="str">
        <f t="shared" si="34"/>
        <v/>
      </c>
      <c r="J286" s="3"/>
      <c r="K286" s="3"/>
      <c r="L286" s="3"/>
    </row>
    <row r="287" spans="2:12" x14ac:dyDescent="0.2">
      <c r="B287" s="2" t="str">
        <f t="shared" si="28"/>
        <v>-</v>
      </c>
      <c r="C287" s="5" t="str">
        <f t="shared" si="29"/>
        <v/>
      </c>
      <c r="D287" s="3" t="str">
        <f t="shared" si="30"/>
        <v/>
      </c>
      <c r="E287" s="3" t="str">
        <f t="shared" si="31"/>
        <v/>
      </c>
      <c r="F287" s="3" t="str">
        <f t="shared" si="32"/>
        <v/>
      </c>
      <c r="G287" s="3" t="str">
        <f t="shared" si="33"/>
        <v/>
      </c>
      <c r="H287" s="3" t="str">
        <f t="shared" si="34"/>
        <v/>
      </c>
      <c r="J287" s="3"/>
      <c r="K287" s="3"/>
      <c r="L287" s="3"/>
    </row>
    <row r="288" spans="2:12" x14ac:dyDescent="0.2">
      <c r="B288" s="2" t="str">
        <f t="shared" si="28"/>
        <v>-</v>
      </c>
      <c r="C288" s="5" t="str">
        <f t="shared" si="29"/>
        <v/>
      </c>
      <c r="D288" s="3" t="str">
        <f t="shared" si="30"/>
        <v/>
      </c>
      <c r="E288" s="3" t="str">
        <f t="shared" si="31"/>
        <v/>
      </c>
      <c r="F288" s="3" t="str">
        <f t="shared" si="32"/>
        <v/>
      </c>
      <c r="G288" s="3" t="str">
        <f t="shared" si="33"/>
        <v/>
      </c>
      <c r="H288" s="3" t="str">
        <f t="shared" si="34"/>
        <v/>
      </c>
      <c r="J288" s="3"/>
      <c r="K288" s="3"/>
      <c r="L288" s="3"/>
    </row>
    <row r="289" spans="2:12" x14ac:dyDescent="0.2">
      <c r="B289" s="2" t="str">
        <f t="shared" si="28"/>
        <v>-</v>
      </c>
      <c r="C289" s="5" t="str">
        <f t="shared" si="29"/>
        <v/>
      </c>
      <c r="D289" s="3" t="str">
        <f t="shared" si="30"/>
        <v/>
      </c>
      <c r="E289" s="3" t="str">
        <f t="shared" si="31"/>
        <v/>
      </c>
      <c r="F289" s="3" t="str">
        <f t="shared" si="32"/>
        <v/>
      </c>
      <c r="G289" s="3" t="str">
        <f t="shared" si="33"/>
        <v/>
      </c>
      <c r="H289" s="3" t="str">
        <f t="shared" si="34"/>
        <v/>
      </c>
      <c r="J289" s="3"/>
      <c r="K289" s="3"/>
      <c r="L289" s="3"/>
    </row>
    <row r="290" spans="2:12" x14ac:dyDescent="0.2">
      <c r="B290" s="2" t="str">
        <f t="shared" si="28"/>
        <v>-</v>
      </c>
      <c r="C290" s="5" t="str">
        <f t="shared" si="29"/>
        <v/>
      </c>
      <c r="D290" s="3" t="str">
        <f t="shared" si="30"/>
        <v/>
      </c>
      <c r="E290" s="3" t="str">
        <f t="shared" si="31"/>
        <v/>
      </c>
      <c r="F290" s="3" t="str">
        <f t="shared" si="32"/>
        <v/>
      </c>
      <c r="G290" s="3" t="str">
        <f t="shared" si="33"/>
        <v/>
      </c>
      <c r="H290" s="3" t="str">
        <f t="shared" si="34"/>
        <v/>
      </c>
      <c r="J290" s="3"/>
      <c r="K290" s="3"/>
      <c r="L290" s="3"/>
    </row>
    <row r="291" spans="2:12" x14ac:dyDescent="0.2">
      <c r="B291" s="2" t="str">
        <f t="shared" si="28"/>
        <v>-</v>
      </c>
      <c r="C291" s="5" t="str">
        <f t="shared" si="29"/>
        <v/>
      </c>
      <c r="D291" s="3" t="str">
        <f t="shared" si="30"/>
        <v/>
      </c>
      <c r="E291" s="3" t="str">
        <f t="shared" si="31"/>
        <v/>
      </c>
      <c r="F291" s="3" t="str">
        <f t="shared" si="32"/>
        <v/>
      </c>
      <c r="G291" s="3" t="str">
        <f t="shared" si="33"/>
        <v/>
      </c>
      <c r="H291" s="3" t="str">
        <f t="shared" si="34"/>
        <v/>
      </c>
      <c r="J291" s="3"/>
      <c r="K291" s="3"/>
      <c r="L291" s="3"/>
    </row>
    <row r="292" spans="2:12" x14ac:dyDescent="0.2">
      <c r="B292" s="2" t="str">
        <f t="shared" si="28"/>
        <v>-</v>
      </c>
      <c r="C292" s="5" t="str">
        <f t="shared" si="29"/>
        <v/>
      </c>
      <c r="D292" s="3" t="str">
        <f t="shared" si="30"/>
        <v/>
      </c>
      <c r="E292" s="3" t="str">
        <f t="shared" si="31"/>
        <v/>
      </c>
      <c r="F292" s="3" t="str">
        <f t="shared" si="32"/>
        <v/>
      </c>
      <c r="G292" s="3" t="str">
        <f t="shared" si="33"/>
        <v/>
      </c>
      <c r="H292" s="3" t="str">
        <f t="shared" si="34"/>
        <v/>
      </c>
      <c r="J292" s="3"/>
      <c r="K292" s="3"/>
      <c r="L292" s="3"/>
    </row>
    <row r="293" spans="2:12" x14ac:dyDescent="0.2">
      <c r="B293" s="2" t="str">
        <f t="shared" si="28"/>
        <v>-</v>
      </c>
      <c r="C293" s="5" t="str">
        <f t="shared" si="29"/>
        <v/>
      </c>
      <c r="D293" s="3" t="str">
        <f t="shared" si="30"/>
        <v/>
      </c>
      <c r="E293" s="3" t="str">
        <f t="shared" si="31"/>
        <v/>
      </c>
      <c r="F293" s="3" t="str">
        <f t="shared" si="32"/>
        <v/>
      </c>
      <c r="G293" s="3" t="str">
        <f t="shared" si="33"/>
        <v/>
      </c>
      <c r="H293" s="3" t="str">
        <f t="shared" si="34"/>
        <v/>
      </c>
      <c r="J293" s="3"/>
      <c r="K293" s="3"/>
      <c r="L293" s="3"/>
    </row>
    <row r="294" spans="2:12" x14ac:dyDescent="0.2">
      <c r="B294" s="2" t="str">
        <f t="shared" si="28"/>
        <v>-</v>
      </c>
      <c r="C294" s="5" t="str">
        <f t="shared" si="29"/>
        <v/>
      </c>
      <c r="D294" s="3" t="str">
        <f t="shared" si="30"/>
        <v/>
      </c>
      <c r="E294" s="3" t="str">
        <f t="shared" si="31"/>
        <v/>
      </c>
      <c r="F294" s="3" t="str">
        <f t="shared" si="32"/>
        <v/>
      </c>
      <c r="G294" s="3" t="str">
        <f t="shared" si="33"/>
        <v/>
      </c>
      <c r="H294" s="3" t="str">
        <f t="shared" si="34"/>
        <v/>
      </c>
      <c r="J294" s="3"/>
      <c r="K294" s="3"/>
      <c r="L294" s="3"/>
    </row>
    <row r="295" spans="2:12" x14ac:dyDescent="0.2">
      <c r="B295" s="2" t="str">
        <f t="shared" si="28"/>
        <v>-</v>
      </c>
      <c r="C295" s="5" t="str">
        <f t="shared" si="29"/>
        <v/>
      </c>
      <c r="D295" s="3" t="str">
        <f t="shared" si="30"/>
        <v/>
      </c>
      <c r="E295" s="3" t="str">
        <f t="shared" si="31"/>
        <v/>
      </c>
      <c r="F295" s="3" t="str">
        <f t="shared" si="32"/>
        <v/>
      </c>
      <c r="G295" s="3" t="str">
        <f t="shared" si="33"/>
        <v/>
      </c>
      <c r="H295" s="3" t="str">
        <f t="shared" si="34"/>
        <v/>
      </c>
      <c r="J295" s="3"/>
      <c r="K295" s="3"/>
      <c r="L295" s="3"/>
    </row>
    <row r="296" spans="2:12" x14ac:dyDescent="0.2">
      <c r="B296" s="2" t="str">
        <f t="shared" si="28"/>
        <v>-</v>
      </c>
      <c r="C296" s="5" t="str">
        <f t="shared" si="29"/>
        <v/>
      </c>
      <c r="D296" s="3" t="str">
        <f t="shared" si="30"/>
        <v/>
      </c>
      <c r="E296" s="3" t="str">
        <f t="shared" si="31"/>
        <v/>
      </c>
      <c r="F296" s="3" t="str">
        <f t="shared" si="32"/>
        <v/>
      </c>
      <c r="G296" s="3" t="str">
        <f t="shared" si="33"/>
        <v/>
      </c>
      <c r="H296" s="3" t="str">
        <f t="shared" si="34"/>
        <v/>
      </c>
      <c r="J296" s="3"/>
      <c r="K296" s="3"/>
      <c r="L296" s="3"/>
    </row>
    <row r="297" spans="2:12" x14ac:dyDescent="0.2">
      <c r="B297" s="2" t="str">
        <f t="shared" si="28"/>
        <v>-</v>
      </c>
      <c r="C297" s="5" t="str">
        <f t="shared" si="29"/>
        <v/>
      </c>
      <c r="D297" s="3" t="str">
        <f t="shared" si="30"/>
        <v/>
      </c>
      <c r="E297" s="3" t="str">
        <f t="shared" si="31"/>
        <v/>
      </c>
      <c r="F297" s="3" t="str">
        <f t="shared" si="32"/>
        <v/>
      </c>
      <c r="G297" s="3" t="str">
        <f t="shared" si="33"/>
        <v/>
      </c>
      <c r="H297" s="3" t="str">
        <f t="shared" si="34"/>
        <v/>
      </c>
      <c r="J297" s="3"/>
      <c r="K297" s="3"/>
      <c r="L297" s="3"/>
    </row>
    <row r="298" spans="2:12" x14ac:dyDescent="0.2">
      <c r="B298" s="2" t="str">
        <f t="shared" si="28"/>
        <v>-</v>
      </c>
      <c r="C298" s="5" t="str">
        <f t="shared" si="29"/>
        <v/>
      </c>
      <c r="D298" s="3" t="str">
        <f t="shared" si="30"/>
        <v/>
      </c>
      <c r="E298" s="3" t="str">
        <f t="shared" si="31"/>
        <v/>
      </c>
      <c r="F298" s="3" t="str">
        <f t="shared" si="32"/>
        <v/>
      </c>
      <c r="G298" s="3" t="str">
        <f t="shared" si="33"/>
        <v/>
      </c>
      <c r="H298" s="3" t="str">
        <f t="shared" si="34"/>
        <v/>
      </c>
      <c r="J298" s="3"/>
      <c r="K298" s="3"/>
      <c r="L298" s="3"/>
    </row>
    <row r="299" spans="2:12" x14ac:dyDescent="0.2">
      <c r="B299" s="2" t="str">
        <f t="shared" si="28"/>
        <v>-</v>
      </c>
      <c r="C299" s="5" t="str">
        <f t="shared" si="29"/>
        <v/>
      </c>
      <c r="D299" s="3" t="str">
        <f t="shared" si="30"/>
        <v/>
      </c>
      <c r="E299" s="3" t="str">
        <f t="shared" si="31"/>
        <v/>
      </c>
      <c r="F299" s="3" t="str">
        <f t="shared" si="32"/>
        <v/>
      </c>
      <c r="G299" s="3" t="str">
        <f t="shared" si="33"/>
        <v/>
      </c>
      <c r="H299" s="3" t="str">
        <f t="shared" si="34"/>
        <v/>
      </c>
      <c r="J299" s="3"/>
      <c r="K299" s="3"/>
      <c r="L299" s="3"/>
    </row>
    <row r="300" spans="2:12" x14ac:dyDescent="0.2">
      <c r="B300" s="2" t="str">
        <f t="shared" si="28"/>
        <v>-</v>
      </c>
      <c r="C300" s="5" t="str">
        <f t="shared" si="29"/>
        <v/>
      </c>
      <c r="D300" s="3" t="str">
        <f t="shared" si="30"/>
        <v/>
      </c>
      <c r="E300" s="3" t="str">
        <f t="shared" si="31"/>
        <v/>
      </c>
      <c r="F300" s="3" t="str">
        <f t="shared" si="32"/>
        <v/>
      </c>
      <c r="G300" s="3" t="str">
        <f t="shared" si="33"/>
        <v/>
      </c>
      <c r="H300" s="3" t="str">
        <f t="shared" si="34"/>
        <v/>
      </c>
      <c r="J300" s="3"/>
      <c r="K300" s="3"/>
      <c r="L300" s="3"/>
    </row>
    <row r="301" spans="2:12" x14ac:dyDescent="0.2">
      <c r="B301" s="2" t="str">
        <f t="shared" si="28"/>
        <v>-</v>
      </c>
      <c r="C301" s="5" t="str">
        <f t="shared" si="29"/>
        <v/>
      </c>
      <c r="D301" s="3" t="str">
        <f t="shared" si="30"/>
        <v/>
      </c>
      <c r="E301" s="3" t="str">
        <f t="shared" si="31"/>
        <v/>
      </c>
      <c r="F301" s="3" t="str">
        <f t="shared" si="32"/>
        <v/>
      </c>
      <c r="G301" s="3" t="str">
        <f t="shared" si="33"/>
        <v/>
      </c>
      <c r="H301" s="3" t="str">
        <f t="shared" si="34"/>
        <v/>
      </c>
      <c r="J301" s="3"/>
      <c r="K301" s="3"/>
      <c r="L301" s="3"/>
    </row>
    <row r="302" spans="2:12" x14ac:dyDescent="0.2">
      <c r="B302" s="2" t="str">
        <f t="shared" si="28"/>
        <v>-</v>
      </c>
      <c r="C302" s="5" t="str">
        <f t="shared" si="29"/>
        <v/>
      </c>
      <c r="D302" s="3" t="str">
        <f t="shared" si="30"/>
        <v/>
      </c>
      <c r="E302" s="3" t="str">
        <f t="shared" si="31"/>
        <v/>
      </c>
      <c r="F302" s="3" t="str">
        <f t="shared" si="32"/>
        <v/>
      </c>
      <c r="G302" s="3" t="str">
        <f t="shared" si="33"/>
        <v/>
      </c>
      <c r="H302" s="3" t="str">
        <f t="shared" si="34"/>
        <v/>
      </c>
      <c r="J302" s="3"/>
      <c r="K302" s="3"/>
      <c r="L302" s="3"/>
    </row>
    <row r="303" spans="2:12" x14ac:dyDescent="0.2">
      <c r="B303" s="2" t="str">
        <f t="shared" si="28"/>
        <v>-</v>
      </c>
      <c r="C303" s="5" t="str">
        <f t="shared" si="29"/>
        <v/>
      </c>
      <c r="D303" s="3" t="str">
        <f t="shared" si="30"/>
        <v/>
      </c>
      <c r="E303" s="3" t="str">
        <f t="shared" si="31"/>
        <v/>
      </c>
      <c r="F303" s="3" t="str">
        <f t="shared" si="32"/>
        <v/>
      </c>
      <c r="G303" s="3" t="str">
        <f t="shared" si="33"/>
        <v/>
      </c>
      <c r="H303" s="3" t="str">
        <f t="shared" si="34"/>
        <v/>
      </c>
      <c r="J303" s="3"/>
      <c r="K303" s="3"/>
      <c r="L303" s="3"/>
    </row>
    <row r="304" spans="2:12" x14ac:dyDescent="0.2">
      <c r="B304" s="2" t="str">
        <f t="shared" si="28"/>
        <v>-</v>
      </c>
      <c r="C304" s="5" t="str">
        <f t="shared" si="29"/>
        <v/>
      </c>
      <c r="D304" s="3" t="str">
        <f t="shared" si="30"/>
        <v/>
      </c>
      <c r="E304" s="3" t="str">
        <f t="shared" si="31"/>
        <v/>
      </c>
      <c r="F304" s="3" t="str">
        <f t="shared" si="32"/>
        <v/>
      </c>
      <c r="G304" s="3" t="str">
        <f t="shared" si="33"/>
        <v/>
      </c>
      <c r="H304" s="3" t="str">
        <f t="shared" si="34"/>
        <v/>
      </c>
      <c r="J304" s="3"/>
      <c r="K304" s="3"/>
      <c r="L304" s="3"/>
    </row>
    <row r="305" spans="2:12" x14ac:dyDescent="0.2">
      <c r="B305" s="2" t="str">
        <f t="shared" si="28"/>
        <v>-</v>
      </c>
      <c r="C305" s="5" t="str">
        <f t="shared" si="29"/>
        <v/>
      </c>
      <c r="D305" s="3" t="str">
        <f t="shared" si="30"/>
        <v/>
      </c>
      <c r="E305" s="3" t="str">
        <f t="shared" si="31"/>
        <v/>
      </c>
      <c r="F305" s="3" t="str">
        <f t="shared" si="32"/>
        <v/>
      </c>
      <c r="G305" s="3" t="str">
        <f t="shared" si="33"/>
        <v/>
      </c>
      <c r="H305" s="3" t="str">
        <f t="shared" si="34"/>
        <v/>
      </c>
      <c r="J305" s="3"/>
      <c r="K305" s="3"/>
      <c r="L305" s="3"/>
    </row>
    <row r="306" spans="2:12" x14ac:dyDescent="0.2">
      <c r="B306" s="2" t="str">
        <f t="shared" si="28"/>
        <v>-</v>
      </c>
      <c r="C306" s="5" t="str">
        <f t="shared" si="29"/>
        <v/>
      </c>
      <c r="D306" s="3" t="str">
        <f t="shared" si="30"/>
        <v/>
      </c>
      <c r="E306" s="3" t="str">
        <f t="shared" si="31"/>
        <v/>
      </c>
      <c r="F306" s="3" t="str">
        <f t="shared" si="32"/>
        <v/>
      </c>
      <c r="G306" s="3" t="str">
        <f t="shared" si="33"/>
        <v/>
      </c>
      <c r="H306" s="3" t="str">
        <f t="shared" si="34"/>
        <v/>
      </c>
      <c r="J306" s="3"/>
      <c r="K306" s="3"/>
      <c r="L306" s="3"/>
    </row>
    <row r="307" spans="2:12" x14ac:dyDescent="0.2">
      <c r="B307" s="2" t="str">
        <f t="shared" si="28"/>
        <v>-</v>
      </c>
      <c r="C307" s="5" t="str">
        <f t="shared" si="29"/>
        <v/>
      </c>
      <c r="D307" s="3" t="str">
        <f t="shared" si="30"/>
        <v/>
      </c>
      <c r="E307" s="3" t="str">
        <f t="shared" si="31"/>
        <v/>
      </c>
      <c r="F307" s="3" t="str">
        <f t="shared" si="32"/>
        <v/>
      </c>
      <c r="G307" s="3" t="str">
        <f t="shared" si="33"/>
        <v/>
      </c>
      <c r="H307" s="3" t="str">
        <f t="shared" si="34"/>
        <v/>
      </c>
      <c r="J307" s="3"/>
      <c r="K307" s="3"/>
      <c r="L307" s="3"/>
    </row>
    <row r="308" spans="2:12" x14ac:dyDescent="0.2">
      <c r="B308" s="2" t="str">
        <f t="shared" si="28"/>
        <v>-</v>
      </c>
      <c r="C308" s="5" t="str">
        <f t="shared" si="29"/>
        <v/>
      </c>
      <c r="D308" s="3" t="str">
        <f t="shared" si="30"/>
        <v/>
      </c>
      <c r="E308" s="3" t="str">
        <f t="shared" si="31"/>
        <v/>
      </c>
      <c r="F308" s="3" t="str">
        <f t="shared" si="32"/>
        <v/>
      </c>
      <c r="G308" s="3" t="str">
        <f t="shared" si="33"/>
        <v/>
      </c>
      <c r="H308" s="3" t="str">
        <f t="shared" si="34"/>
        <v/>
      </c>
      <c r="J308" s="3"/>
      <c r="K308" s="3"/>
      <c r="L308" s="3"/>
    </row>
    <row r="309" spans="2:12" x14ac:dyDescent="0.2">
      <c r="B309" s="2" t="str">
        <f t="shared" si="28"/>
        <v>-</v>
      </c>
      <c r="C309" s="5" t="str">
        <f t="shared" si="29"/>
        <v/>
      </c>
      <c r="D309" s="3" t="str">
        <f t="shared" si="30"/>
        <v/>
      </c>
      <c r="E309" s="3" t="str">
        <f t="shared" si="31"/>
        <v/>
      </c>
      <c r="F309" s="3" t="str">
        <f t="shared" si="32"/>
        <v/>
      </c>
      <c r="G309" s="3" t="str">
        <f t="shared" si="33"/>
        <v/>
      </c>
      <c r="H309" s="3" t="str">
        <f t="shared" si="34"/>
        <v/>
      </c>
      <c r="J309" s="3"/>
      <c r="K309" s="3"/>
      <c r="L309" s="3"/>
    </row>
    <row r="310" spans="2:12" x14ac:dyDescent="0.2">
      <c r="B310" s="2" t="str">
        <f t="shared" si="28"/>
        <v>-</v>
      </c>
      <c r="C310" s="5" t="str">
        <f t="shared" si="29"/>
        <v/>
      </c>
      <c r="D310" s="3" t="str">
        <f t="shared" si="30"/>
        <v/>
      </c>
      <c r="E310" s="3" t="str">
        <f t="shared" si="31"/>
        <v/>
      </c>
      <c r="F310" s="3" t="str">
        <f t="shared" si="32"/>
        <v/>
      </c>
      <c r="G310" s="3" t="str">
        <f t="shared" si="33"/>
        <v/>
      </c>
      <c r="H310" s="3" t="str">
        <f t="shared" si="34"/>
        <v/>
      </c>
      <c r="J310" s="3"/>
      <c r="K310" s="3"/>
      <c r="L310" s="3"/>
    </row>
    <row r="311" spans="2:12" x14ac:dyDescent="0.2">
      <c r="B311" s="2" t="str">
        <f t="shared" si="28"/>
        <v>-</v>
      </c>
      <c r="C311" s="5" t="str">
        <f t="shared" si="29"/>
        <v/>
      </c>
      <c r="D311" s="3" t="str">
        <f t="shared" si="30"/>
        <v/>
      </c>
      <c r="E311" s="3" t="str">
        <f t="shared" si="31"/>
        <v/>
      </c>
      <c r="F311" s="3" t="str">
        <f t="shared" si="32"/>
        <v/>
      </c>
      <c r="G311" s="3" t="str">
        <f t="shared" si="33"/>
        <v/>
      </c>
      <c r="H311" s="3" t="str">
        <f t="shared" si="34"/>
        <v/>
      </c>
      <c r="J311" s="3"/>
      <c r="K311" s="3"/>
      <c r="L311" s="3"/>
    </row>
    <row r="312" spans="2:12" x14ac:dyDescent="0.2">
      <c r="B312" s="2" t="str">
        <f t="shared" si="28"/>
        <v>-</v>
      </c>
      <c r="C312" s="5" t="str">
        <f t="shared" si="29"/>
        <v/>
      </c>
      <c r="D312" s="3" t="str">
        <f t="shared" si="30"/>
        <v/>
      </c>
      <c r="E312" s="3" t="str">
        <f t="shared" si="31"/>
        <v/>
      </c>
      <c r="F312" s="3" t="str">
        <f t="shared" si="32"/>
        <v/>
      </c>
      <c r="G312" s="3" t="str">
        <f t="shared" si="33"/>
        <v/>
      </c>
      <c r="H312" s="3" t="str">
        <f t="shared" si="34"/>
        <v/>
      </c>
      <c r="J312" s="3"/>
      <c r="K312" s="3"/>
      <c r="L312" s="3"/>
    </row>
    <row r="313" spans="2:12" x14ac:dyDescent="0.2">
      <c r="B313" s="2" t="str">
        <f t="shared" si="28"/>
        <v>-</v>
      </c>
      <c r="C313" s="5" t="str">
        <f t="shared" si="29"/>
        <v/>
      </c>
      <c r="D313" s="3" t="str">
        <f t="shared" si="30"/>
        <v/>
      </c>
      <c r="E313" s="3" t="str">
        <f t="shared" si="31"/>
        <v/>
      </c>
      <c r="F313" s="3" t="str">
        <f t="shared" si="32"/>
        <v/>
      </c>
      <c r="G313" s="3" t="str">
        <f t="shared" si="33"/>
        <v/>
      </c>
      <c r="H313" s="3" t="str">
        <f t="shared" si="34"/>
        <v/>
      </c>
      <c r="J313" s="3"/>
      <c r="K313" s="3"/>
      <c r="L313" s="3"/>
    </row>
    <row r="314" spans="2:12" x14ac:dyDescent="0.2">
      <c r="B314" s="2" t="str">
        <f t="shared" si="28"/>
        <v>-</v>
      </c>
      <c r="C314" s="5" t="str">
        <f t="shared" si="29"/>
        <v/>
      </c>
      <c r="D314" s="3" t="str">
        <f t="shared" si="30"/>
        <v/>
      </c>
      <c r="E314" s="3" t="str">
        <f t="shared" si="31"/>
        <v/>
      </c>
      <c r="F314" s="3" t="str">
        <f t="shared" si="32"/>
        <v/>
      </c>
      <c r="G314" s="3" t="str">
        <f t="shared" si="33"/>
        <v/>
      </c>
      <c r="H314" s="3" t="str">
        <f t="shared" si="34"/>
        <v/>
      </c>
      <c r="J314" s="3"/>
      <c r="K314" s="3"/>
      <c r="L314" s="3"/>
    </row>
    <row r="315" spans="2:12" x14ac:dyDescent="0.2">
      <c r="B315" s="2" t="str">
        <f t="shared" si="28"/>
        <v>-</v>
      </c>
      <c r="C315" s="5" t="str">
        <f t="shared" si="29"/>
        <v/>
      </c>
      <c r="D315" s="3" t="str">
        <f t="shared" si="30"/>
        <v/>
      </c>
      <c r="E315" s="3" t="str">
        <f t="shared" si="31"/>
        <v/>
      </c>
      <c r="F315" s="3" t="str">
        <f t="shared" si="32"/>
        <v/>
      </c>
      <c r="G315" s="3" t="str">
        <f t="shared" si="33"/>
        <v/>
      </c>
      <c r="H315" s="3" t="str">
        <f t="shared" si="34"/>
        <v/>
      </c>
      <c r="J315" s="3"/>
      <c r="K315" s="3"/>
      <c r="L315" s="3"/>
    </row>
    <row r="316" spans="2:12" x14ac:dyDescent="0.2">
      <c r="B316" s="2" t="str">
        <f t="shared" si="28"/>
        <v>-</v>
      </c>
      <c r="C316" s="5" t="str">
        <f t="shared" si="29"/>
        <v/>
      </c>
      <c r="D316" s="3" t="str">
        <f t="shared" si="30"/>
        <v/>
      </c>
      <c r="E316" s="3" t="str">
        <f t="shared" si="31"/>
        <v/>
      </c>
      <c r="F316" s="3" t="str">
        <f t="shared" si="32"/>
        <v/>
      </c>
      <c r="G316" s="3" t="str">
        <f t="shared" si="33"/>
        <v/>
      </c>
      <c r="H316" s="3" t="str">
        <f t="shared" si="34"/>
        <v/>
      </c>
      <c r="J316" s="3"/>
      <c r="K316" s="3"/>
      <c r="L316" s="3"/>
    </row>
    <row r="317" spans="2:12" x14ac:dyDescent="0.2">
      <c r="B317" s="2" t="str">
        <f t="shared" si="28"/>
        <v>-</v>
      </c>
      <c r="C317" s="5" t="str">
        <f t="shared" si="29"/>
        <v/>
      </c>
      <c r="D317" s="3" t="str">
        <f t="shared" si="30"/>
        <v/>
      </c>
      <c r="E317" s="3" t="str">
        <f t="shared" si="31"/>
        <v/>
      </c>
      <c r="F317" s="3" t="str">
        <f t="shared" si="32"/>
        <v/>
      </c>
      <c r="G317" s="3" t="str">
        <f t="shared" si="33"/>
        <v/>
      </c>
      <c r="H317" s="3" t="str">
        <f t="shared" si="34"/>
        <v/>
      </c>
      <c r="J317" s="3"/>
      <c r="K317" s="3"/>
      <c r="L317" s="3"/>
    </row>
    <row r="318" spans="2:12" x14ac:dyDescent="0.2">
      <c r="B318" s="2" t="str">
        <f t="shared" si="28"/>
        <v>-</v>
      </c>
      <c r="C318" s="5" t="str">
        <f t="shared" si="29"/>
        <v/>
      </c>
      <c r="D318" s="3" t="str">
        <f t="shared" si="30"/>
        <v/>
      </c>
      <c r="E318" s="3" t="str">
        <f t="shared" si="31"/>
        <v/>
      </c>
      <c r="F318" s="3" t="str">
        <f t="shared" si="32"/>
        <v/>
      </c>
      <c r="G318" s="3" t="str">
        <f t="shared" si="33"/>
        <v/>
      </c>
      <c r="H318" s="3" t="str">
        <f t="shared" si="34"/>
        <v/>
      </c>
      <c r="J318" s="3"/>
      <c r="K318" s="3"/>
      <c r="L318" s="3"/>
    </row>
    <row r="319" spans="2:12" x14ac:dyDescent="0.2">
      <c r="B319" s="2" t="str">
        <f t="shared" si="28"/>
        <v>-</v>
      </c>
      <c r="C319" s="5" t="str">
        <f t="shared" si="29"/>
        <v/>
      </c>
      <c r="D319" s="3" t="str">
        <f t="shared" si="30"/>
        <v/>
      </c>
      <c r="E319" s="3" t="str">
        <f t="shared" si="31"/>
        <v/>
      </c>
      <c r="F319" s="3" t="str">
        <f t="shared" si="32"/>
        <v/>
      </c>
      <c r="G319" s="3" t="str">
        <f t="shared" si="33"/>
        <v/>
      </c>
      <c r="H319" s="3" t="str">
        <f t="shared" si="34"/>
        <v/>
      </c>
      <c r="J319" s="3"/>
      <c r="K319" s="3"/>
      <c r="L319" s="3"/>
    </row>
    <row r="320" spans="2:12" x14ac:dyDescent="0.2">
      <c r="B320" s="2" t="str">
        <f t="shared" si="28"/>
        <v>-</v>
      </c>
      <c r="C320" s="5" t="str">
        <f t="shared" si="29"/>
        <v/>
      </c>
      <c r="D320" s="3" t="str">
        <f t="shared" si="30"/>
        <v/>
      </c>
      <c r="E320" s="3" t="str">
        <f t="shared" si="31"/>
        <v/>
      </c>
      <c r="F320" s="3" t="str">
        <f t="shared" si="32"/>
        <v/>
      </c>
      <c r="G320" s="3" t="str">
        <f t="shared" si="33"/>
        <v/>
      </c>
      <c r="H320" s="3" t="str">
        <f t="shared" si="34"/>
        <v/>
      </c>
      <c r="J320" s="3"/>
      <c r="K320" s="3"/>
      <c r="L320" s="3"/>
    </row>
    <row r="321" spans="2:12" x14ac:dyDescent="0.2">
      <c r="B321" s="2" t="str">
        <f t="shared" si="28"/>
        <v>-</v>
      </c>
      <c r="C321" s="5" t="str">
        <f t="shared" si="29"/>
        <v/>
      </c>
      <c r="D321" s="3" t="str">
        <f t="shared" si="30"/>
        <v/>
      </c>
      <c r="E321" s="3" t="str">
        <f t="shared" si="31"/>
        <v/>
      </c>
      <c r="F321" s="3" t="str">
        <f t="shared" si="32"/>
        <v/>
      </c>
      <c r="G321" s="3" t="str">
        <f t="shared" si="33"/>
        <v/>
      </c>
      <c r="H321" s="3" t="str">
        <f t="shared" si="34"/>
        <v/>
      </c>
      <c r="J321" s="3"/>
      <c r="K321" s="3"/>
      <c r="L321" s="3"/>
    </row>
    <row r="322" spans="2:12" x14ac:dyDescent="0.2">
      <c r="B322" s="2" t="str">
        <f t="shared" si="28"/>
        <v>-</v>
      </c>
      <c r="C322" s="5" t="str">
        <f t="shared" si="29"/>
        <v/>
      </c>
      <c r="D322" s="3" t="str">
        <f t="shared" si="30"/>
        <v/>
      </c>
      <c r="E322" s="3" t="str">
        <f t="shared" si="31"/>
        <v/>
      </c>
      <c r="F322" s="3" t="str">
        <f t="shared" si="32"/>
        <v/>
      </c>
      <c r="G322" s="3" t="str">
        <f t="shared" si="33"/>
        <v/>
      </c>
      <c r="H322" s="3" t="str">
        <f t="shared" si="34"/>
        <v/>
      </c>
      <c r="J322" s="3"/>
      <c r="K322" s="3"/>
      <c r="L322" s="3"/>
    </row>
    <row r="323" spans="2:12" x14ac:dyDescent="0.2">
      <c r="B323" s="2" t="str">
        <f t="shared" si="28"/>
        <v>-</v>
      </c>
      <c r="C323" s="5" t="str">
        <f t="shared" si="29"/>
        <v/>
      </c>
      <c r="D323" s="3" t="str">
        <f t="shared" si="30"/>
        <v/>
      </c>
      <c r="E323" s="3" t="str">
        <f t="shared" si="31"/>
        <v/>
      </c>
      <c r="F323" s="3" t="str">
        <f t="shared" si="32"/>
        <v/>
      </c>
      <c r="G323" s="3" t="str">
        <f t="shared" si="33"/>
        <v/>
      </c>
      <c r="H323" s="3" t="str">
        <f t="shared" si="34"/>
        <v/>
      </c>
      <c r="J323" s="3"/>
      <c r="K323" s="3"/>
      <c r="L323" s="3"/>
    </row>
    <row r="324" spans="2:12" x14ac:dyDescent="0.2">
      <c r="B324" s="2" t="str">
        <f t="shared" si="28"/>
        <v>-</v>
      </c>
      <c r="C324" s="5" t="str">
        <f t="shared" si="29"/>
        <v/>
      </c>
      <c r="D324" s="3" t="str">
        <f t="shared" si="30"/>
        <v/>
      </c>
      <c r="E324" s="3" t="str">
        <f t="shared" si="31"/>
        <v/>
      </c>
      <c r="F324" s="3" t="str">
        <f t="shared" si="32"/>
        <v/>
      </c>
      <c r="G324" s="3" t="str">
        <f t="shared" si="33"/>
        <v/>
      </c>
      <c r="H324" s="3" t="str">
        <f t="shared" si="34"/>
        <v/>
      </c>
      <c r="J324" s="3"/>
      <c r="K324" s="3"/>
      <c r="L324" s="3"/>
    </row>
    <row r="325" spans="2:12" x14ac:dyDescent="0.2">
      <c r="B325" s="2" t="str">
        <f t="shared" si="28"/>
        <v>-</v>
      </c>
      <c r="C325" s="5" t="str">
        <f t="shared" si="29"/>
        <v/>
      </c>
      <c r="D325" s="3" t="str">
        <f t="shared" si="30"/>
        <v/>
      </c>
      <c r="E325" s="3" t="str">
        <f t="shared" si="31"/>
        <v/>
      </c>
      <c r="F325" s="3" t="str">
        <f t="shared" si="32"/>
        <v/>
      </c>
      <c r="G325" s="3" t="str">
        <f t="shared" si="33"/>
        <v/>
      </c>
      <c r="H325" s="3" t="str">
        <f t="shared" si="34"/>
        <v/>
      </c>
      <c r="J325" s="3"/>
      <c r="K325" s="3"/>
      <c r="L325" s="3"/>
    </row>
    <row r="326" spans="2:12" x14ac:dyDescent="0.2">
      <c r="B326" s="2" t="str">
        <f t="shared" si="28"/>
        <v>-</v>
      </c>
      <c r="C326" s="5" t="str">
        <f t="shared" si="29"/>
        <v/>
      </c>
      <c r="D326" s="3" t="str">
        <f t="shared" si="30"/>
        <v/>
      </c>
      <c r="E326" s="3" t="str">
        <f t="shared" si="31"/>
        <v/>
      </c>
      <c r="F326" s="3" t="str">
        <f t="shared" si="32"/>
        <v/>
      </c>
      <c r="G326" s="3" t="str">
        <f t="shared" si="33"/>
        <v/>
      </c>
      <c r="H326" s="3" t="str">
        <f t="shared" si="34"/>
        <v/>
      </c>
      <c r="J326" s="3"/>
      <c r="K326" s="3"/>
      <c r="L326" s="3"/>
    </row>
    <row r="327" spans="2:12" x14ac:dyDescent="0.2">
      <c r="B327" s="2" t="str">
        <f t="shared" si="28"/>
        <v>-</v>
      </c>
      <c r="C327" s="5" t="str">
        <f t="shared" si="29"/>
        <v/>
      </c>
      <c r="D327" s="3" t="str">
        <f t="shared" si="30"/>
        <v/>
      </c>
      <c r="E327" s="3" t="str">
        <f t="shared" si="31"/>
        <v/>
      </c>
      <c r="F327" s="3" t="str">
        <f t="shared" si="32"/>
        <v/>
      </c>
      <c r="G327" s="3" t="str">
        <f t="shared" si="33"/>
        <v/>
      </c>
      <c r="H327" s="3" t="str">
        <f t="shared" si="34"/>
        <v/>
      </c>
      <c r="J327" s="3"/>
      <c r="K327" s="3"/>
      <c r="L327" s="3"/>
    </row>
    <row r="328" spans="2:12" x14ac:dyDescent="0.2">
      <c r="B328" s="2" t="str">
        <f t="shared" si="28"/>
        <v>-</v>
      </c>
      <c r="C328" s="5" t="str">
        <f t="shared" si="29"/>
        <v/>
      </c>
      <c r="D328" s="3" t="str">
        <f t="shared" si="30"/>
        <v/>
      </c>
      <c r="E328" s="3" t="str">
        <f t="shared" si="31"/>
        <v/>
      </c>
      <c r="F328" s="3" t="str">
        <f t="shared" si="32"/>
        <v/>
      </c>
      <c r="G328" s="3" t="str">
        <f t="shared" si="33"/>
        <v/>
      </c>
      <c r="H328" s="3" t="str">
        <f t="shared" si="34"/>
        <v/>
      </c>
      <c r="J328" s="3"/>
      <c r="K328" s="3"/>
      <c r="L328" s="3"/>
    </row>
    <row r="329" spans="2:12" x14ac:dyDescent="0.2">
      <c r="B329" s="2" t="str">
        <f t="shared" si="28"/>
        <v>-</v>
      </c>
      <c r="C329" s="5" t="str">
        <f t="shared" si="29"/>
        <v/>
      </c>
      <c r="D329" s="3" t="str">
        <f t="shared" si="30"/>
        <v/>
      </c>
      <c r="E329" s="3" t="str">
        <f t="shared" si="31"/>
        <v/>
      </c>
      <c r="F329" s="3" t="str">
        <f t="shared" si="32"/>
        <v/>
      </c>
      <c r="G329" s="3" t="str">
        <f t="shared" si="33"/>
        <v/>
      </c>
      <c r="H329" s="3" t="str">
        <f t="shared" si="34"/>
        <v/>
      </c>
      <c r="J329" s="3"/>
      <c r="K329" s="3"/>
      <c r="L329" s="3"/>
    </row>
    <row r="330" spans="2:12" x14ac:dyDescent="0.2">
      <c r="B330" s="2" t="str">
        <f t="shared" si="28"/>
        <v>-</v>
      </c>
      <c r="C330" s="5" t="str">
        <f t="shared" si="29"/>
        <v/>
      </c>
      <c r="D330" s="3" t="str">
        <f t="shared" si="30"/>
        <v/>
      </c>
      <c r="E330" s="3" t="str">
        <f t="shared" si="31"/>
        <v/>
      </c>
      <c r="F330" s="3" t="str">
        <f t="shared" si="32"/>
        <v/>
      </c>
      <c r="G330" s="3" t="str">
        <f t="shared" si="33"/>
        <v/>
      </c>
      <c r="H330" s="3" t="str">
        <f t="shared" si="34"/>
        <v/>
      </c>
      <c r="J330" s="3"/>
      <c r="K330" s="3"/>
      <c r="L330" s="3"/>
    </row>
    <row r="331" spans="2:12" x14ac:dyDescent="0.2">
      <c r="B331" s="2" t="str">
        <f t="shared" ref="B331:B370" si="35">IF(B330&lt;$L$2,B330+1,"-")</f>
        <v>-</v>
      </c>
      <c r="C331" s="5" t="str">
        <f t="shared" ref="C331:C370" si="36">IF(ISNUMBER(B331),MIN(DATE(YEAR($C$10),MONTH($C$10)+B331*12/$P$4,DAY($C$10)),DATE(YEAR($C$10),MONTH($C$10)+1+B331*12/$P$4,1)-1),"")</f>
        <v/>
      </c>
      <c r="D331" s="3" t="str">
        <f t="shared" ref="D331:D370" si="37">IF(ISNUMBER(B331),D330-F330,"")</f>
        <v/>
      </c>
      <c r="E331" s="3" t="str">
        <f t="shared" ref="E331:E370" si="38">IF(ISNUMBER(B331),ROUND(D331*$L$6,$R$5),"")</f>
        <v/>
      </c>
      <c r="F331" s="3" t="str">
        <f t="shared" ref="F331:F370" si="39">IF(ISNUMBER(B331),IF(B331=$L$2,D331,IF(B331&gt;$L$3,$H$2-E331,0)),"")</f>
        <v/>
      </c>
      <c r="G331" s="3" t="str">
        <f t="shared" ref="G331:G370" si="40">IF(ISNUMBER(B331),$H$3,"")</f>
        <v/>
      </c>
      <c r="H331" s="3" t="str">
        <f t="shared" ref="H331:H370" si="41">IF(ISNUMBER(B331),E331+F331+G331,"")</f>
        <v/>
      </c>
      <c r="J331" s="3"/>
      <c r="K331" s="3"/>
      <c r="L331" s="3"/>
    </row>
    <row r="332" spans="2:12" x14ac:dyDescent="0.2">
      <c r="B332" s="2" t="str">
        <f t="shared" si="35"/>
        <v>-</v>
      </c>
      <c r="C332" s="5" t="str">
        <f t="shared" si="36"/>
        <v/>
      </c>
      <c r="D332" s="3" t="str">
        <f t="shared" si="37"/>
        <v/>
      </c>
      <c r="E332" s="3" t="str">
        <f t="shared" si="38"/>
        <v/>
      </c>
      <c r="F332" s="3" t="str">
        <f t="shared" si="39"/>
        <v/>
      </c>
      <c r="G332" s="3" t="str">
        <f t="shared" si="40"/>
        <v/>
      </c>
      <c r="H332" s="3" t="str">
        <f t="shared" si="41"/>
        <v/>
      </c>
      <c r="J332" s="3"/>
      <c r="K332" s="3"/>
      <c r="L332" s="3"/>
    </row>
    <row r="333" spans="2:12" x14ac:dyDescent="0.2">
      <c r="B333" s="2" t="str">
        <f t="shared" si="35"/>
        <v>-</v>
      </c>
      <c r="C333" s="5" t="str">
        <f t="shared" si="36"/>
        <v/>
      </c>
      <c r="D333" s="3" t="str">
        <f t="shared" si="37"/>
        <v/>
      </c>
      <c r="E333" s="3" t="str">
        <f t="shared" si="38"/>
        <v/>
      </c>
      <c r="F333" s="3" t="str">
        <f t="shared" si="39"/>
        <v/>
      </c>
      <c r="G333" s="3" t="str">
        <f t="shared" si="40"/>
        <v/>
      </c>
      <c r="H333" s="3" t="str">
        <f t="shared" si="41"/>
        <v/>
      </c>
      <c r="J333" s="3"/>
      <c r="K333" s="3"/>
      <c r="L333" s="3"/>
    </row>
    <row r="334" spans="2:12" x14ac:dyDescent="0.2">
      <c r="B334" s="2" t="str">
        <f t="shared" si="35"/>
        <v>-</v>
      </c>
      <c r="C334" s="5" t="str">
        <f t="shared" si="36"/>
        <v/>
      </c>
      <c r="D334" s="3" t="str">
        <f t="shared" si="37"/>
        <v/>
      </c>
      <c r="E334" s="3" t="str">
        <f t="shared" si="38"/>
        <v/>
      </c>
      <c r="F334" s="3" t="str">
        <f t="shared" si="39"/>
        <v/>
      </c>
      <c r="G334" s="3" t="str">
        <f t="shared" si="40"/>
        <v/>
      </c>
      <c r="H334" s="3" t="str">
        <f t="shared" si="41"/>
        <v/>
      </c>
      <c r="J334" s="3"/>
      <c r="K334" s="3"/>
      <c r="L334" s="3"/>
    </row>
    <row r="335" spans="2:12" x14ac:dyDescent="0.2">
      <c r="B335" s="2" t="str">
        <f t="shared" si="35"/>
        <v>-</v>
      </c>
      <c r="C335" s="5" t="str">
        <f t="shared" si="36"/>
        <v/>
      </c>
      <c r="D335" s="3" t="str">
        <f t="shared" si="37"/>
        <v/>
      </c>
      <c r="E335" s="3" t="str">
        <f t="shared" si="38"/>
        <v/>
      </c>
      <c r="F335" s="3" t="str">
        <f t="shared" si="39"/>
        <v/>
      </c>
      <c r="G335" s="3" t="str">
        <f t="shared" si="40"/>
        <v/>
      </c>
      <c r="H335" s="3" t="str">
        <f t="shared" si="41"/>
        <v/>
      </c>
      <c r="J335" s="3"/>
      <c r="K335" s="3"/>
      <c r="L335" s="3"/>
    </row>
    <row r="336" spans="2:12" x14ac:dyDescent="0.2">
      <c r="B336" s="2" t="str">
        <f t="shared" si="35"/>
        <v>-</v>
      </c>
      <c r="C336" s="5" t="str">
        <f t="shared" si="36"/>
        <v/>
      </c>
      <c r="D336" s="3" t="str">
        <f t="shared" si="37"/>
        <v/>
      </c>
      <c r="E336" s="3" t="str">
        <f t="shared" si="38"/>
        <v/>
      </c>
      <c r="F336" s="3" t="str">
        <f t="shared" si="39"/>
        <v/>
      </c>
      <c r="G336" s="3" t="str">
        <f t="shared" si="40"/>
        <v/>
      </c>
      <c r="H336" s="3" t="str">
        <f t="shared" si="41"/>
        <v/>
      </c>
      <c r="J336" s="3"/>
      <c r="K336" s="3"/>
      <c r="L336" s="3"/>
    </row>
    <row r="337" spans="2:12" x14ac:dyDescent="0.2">
      <c r="B337" s="2" t="str">
        <f t="shared" si="35"/>
        <v>-</v>
      </c>
      <c r="C337" s="5" t="str">
        <f t="shared" si="36"/>
        <v/>
      </c>
      <c r="D337" s="3" t="str">
        <f t="shared" si="37"/>
        <v/>
      </c>
      <c r="E337" s="3" t="str">
        <f t="shared" si="38"/>
        <v/>
      </c>
      <c r="F337" s="3" t="str">
        <f t="shared" si="39"/>
        <v/>
      </c>
      <c r="G337" s="3" t="str">
        <f t="shared" si="40"/>
        <v/>
      </c>
      <c r="H337" s="3" t="str">
        <f t="shared" si="41"/>
        <v/>
      </c>
      <c r="J337" s="3"/>
      <c r="K337" s="3"/>
      <c r="L337" s="3"/>
    </row>
    <row r="338" spans="2:12" x14ac:dyDescent="0.2">
      <c r="B338" s="2" t="str">
        <f t="shared" si="35"/>
        <v>-</v>
      </c>
      <c r="C338" s="5" t="str">
        <f t="shared" si="36"/>
        <v/>
      </c>
      <c r="D338" s="3" t="str">
        <f t="shared" si="37"/>
        <v/>
      </c>
      <c r="E338" s="3" t="str">
        <f t="shared" si="38"/>
        <v/>
      </c>
      <c r="F338" s="3" t="str">
        <f t="shared" si="39"/>
        <v/>
      </c>
      <c r="G338" s="3" t="str">
        <f t="shared" si="40"/>
        <v/>
      </c>
      <c r="H338" s="3" t="str">
        <f t="shared" si="41"/>
        <v/>
      </c>
      <c r="J338" s="3"/>
      <c r="K338" s="3"/>
      <c r="L338" s="3"/>
    </row>
    <row r="339" spans="2:12" x14ac:dyDescent="0.2">
      <c r="B339" s="2" t="str">
        <f t="shared" si="35"/>
        <v>-</v>
      </c>
      <c r="C339" s="5" t="str">
        <f t="shared" si="36"/>
        <v/>
      </c>
      <c r="D339" s="3" t="str">
        <f t="shared" si="37"/>
        <v/>
      </c>
      <c r="E339" s="3" t="str">
        <f t="shared" si="38"/>
        <v/>
      </c>
      <c r="F339" s="3" t="str">
        <f t="shared" si="39"/>
        <v/>
      </c>
      <c r="G339" s="3" t="str">
        <f t="shared" si="40"/>
        <v/>
      </c>
      <c r="H339" s="3" t="str">
        <f t="shared" si="41"/>
        <v/>
      </c>
      <c r="J339" s="3"/>
      <c r="K339" s="3"/>
      <c r="L339" s="3"/>
    </row>
    <row r="340" spans="2:12" x14ac:dyDescent="0.2">
      <c r="B340" s="2" t="str">
        <f t="shared" si="35"/>
        <v>-</v>
      </c>
      <c r="C340" s="5" t="str">
        <f t="shared" si="36"/>
        <v/>
      </c>
      <c r="D340" s="3" t="str">
        <f t="shared" si="37"/>
        <v/>
      </c>
      <c r="E340" s="3" t="str">
        <f t="shared" si="38"/>
        <v/>
      </c>
      <c r="F340" s="3" t="str">
        <f t="shared" si="39"/>
        <v/>
      </c>
      <c r="G340" s="3" t="str">
        <f t="shared" si="40"/>
        <v/>
      </c>
      <c r="H340" s="3" t="str">
        <f t="shared" si="41"/>
        <v/>
      </c>
      <c r="J340" s="3"/>
      <c r="K340" s="3"/>
      <c r="L340" s="3"/>
    </row>
    <row r="341" spans="2:12" x14ac:dyDescent="0.2">
      <c r="B341" s="2" t="str">
        <f t="shared" si="35"/>
        <v>-</v>
      </c>
      <c r="C341" s="5" t="str">
        <f t="shared" si="36"/>
        <v/>
      </c>
      <c r="D341" s="3" t="str">
        <f t="shared" si="37"/>
        <v/>
      </c>
      <c r="E341" s="3" t="str">
        <f t="shared" si="38"/>
        <v/>
      </c>
      <c r="F341" s="3" t="str">
        <f t="shared" si="39"/>
        <v/>
      </c>
      <c r="G341" s="3" t="str">
        <f t="shared" si="40"/>
        <v/>
      </c>
      <c r="H341" s="3" t="str">
        <f t="shared" si="41"/>
        <v/>
      </c>
      <c r="J341" s="3"/>
      <c r="K341" s="3"/>
      <c r="L341" s="3"/>
    </row>
    <row r="342" spans="2:12" x14ac:dyDescent="0.2">
      <c r="B342" s="2" t="str">
        <f t="shared" si="35"/>
        <v>-</v>
      </c>
      <c r="C342" s="5" t="str">
        <f t="shared" si="36"/>
        <v/>
      </c>
      <c r="D342" s="3" t="str">
        <f t="shared" si="37"/>
        <v/>
      </c>
      <c r="E342" s="3" t="str">
        <f t="shared" si="38"/>
        <v/>
      </c>
      <c r="F342" s="3" t="str">
        <f t="shared" si="39"/>
        <v/>
      </c>
      <c r="G342" s="3" t="str">
        <f t="shared" si="40"/>
        <v/>
      </c>
      <c r="H342" s="3" t="str">
        <f t="shared" si="41"/>
        <v/>
      </c>
      <c r="J342" s="3"/>
      <c r="K342" s="3"/>
      <c r="L342" s="3"/>
    </row>
    <row r="343" spans="2:12" x14ac:dyDescent="0.2">
      <c r="B343" s="2" t="str">
        <f t="shared" si="35"/>
        <v>-</v>
      </c>
      <c r="C343" s="5" t="str">
        <f t="shared" si="36"/>
        <v/>
      </c>
      <c r="D343" s="3" t="str">
        <f t="shared" si="37"/>
        <v/>
      </c>
      <c r="E343" s="3" t="str">
        <f t="shared" si="38"/>
        <v/>
      </c>
      <c r="F343" s="3" t="str">
        <f t="shared" si="39"/>
        <v/>
      </c>
      <c r="G343" s="3" t="str">
        <f t="shared" si="40"/>
        <v/>
      </c>
      <c r="H343" s="3" t="str">
        <f t="shared" si="41"/>
        <v/>
      </c>
      <c r="J343" s="3"/>
      <c r="K343" s="3"/>
      <c r="L343" s="3"/>
    </row>
    <row r="344" spans="2:12" x14ac:dyDescent="0.2">
      <c r="B344" s="2" t="str">
        <f t="shared" si="35"/>
        <v>-</v>
      </c>
      <c r="C344" s="5" t="str">
        <f t="shared" si="36"/>
        <v/>
      </c>
      <c r="D344" s="3" t="str">
        <f t="shared" si="37"/>
        <v/>
      </c>
      <c r="E344" s="3" t="str">
        <f t="shared" si="38"/>
        <v/>
      </c>
      <c r="F344" s="3" t="str">
        <f t="shared" si="39"/>
        <v/>
      </c>
      <c r="G344" s="3" t="str">
        <f t="shared" si="40"/>
        <v/>
      </c>
      <c r="H344" s="3" t="str">
        <f t="shared" si="41"/>
        <v/>
      </c>
      <c r="J344" s="3"/>
      <c r="K344" s="3"/>
      <c r="L344" s="3"/>
    </row>
    <row r="345" spans="2:12" x14ac:dyDescent="0.2">
      <c r="B345" s="2" t="str">
        <f t="shared" si="35"/>
        <v>-</v>
      </c>
      <c r="C345" s="5" t="str">
        <f t="shared" si="36"/>
        <v/>
      </c>
      <c r="D345" s="3" t="str">
        <f t="shared" si="37"/>
        <v/>
      </c>
      <c r="E345" s="3" t="str">
        <f t="shared" si="38"/>
        <v/>
      </c>
      <c r="F345" s="3" t="str">
        <f t="shared" si="39"/>
        <v/>
      </c>
      <c r="G345" s="3" t="str">
        <f t="shared" si="40"/>
        <v/>
      </c>
      <c r="H345" s="3" t="str">
        <f t="shared" si="41"/>
        <v/>
      </c>
      <c r="J345" s="3"/>
      <c r="K345" s="3"/>
      <c r="L345" s="3"/>
    </row>
    <row r="346" spans="2:12" x14ac:dyDescent="0.2">
      <c r="B346" s="2" t="str">
        <f t="shared" si="35"/>
        <v>-</v>
      </c>
      <c r="C346" s="5" t="str">
        <f t="shared" si="36"/>
        <v/>
      </c>
      <c r="D346" s="3" t="str">
        <f t="shared" si="37"/>
        <v/>
      </c>
      <c r="E346" s="3" t="str">
        <f t="shared" si="38"/>
        <v/>
      </c>
      <c r="F346" s="3" t="str">
        <f t="shared" si="39"/>
        <v/>
      </c>
      <c r="G346" s="3" t="str">
        <f t="shared" si="40"/>
        <v/>
      </c>
      <c r="H346" s="3" t="str">
        <f t="shared" si="41"/>
        <v/>
      </c>
      <c r="J346" s="3"/>
      <c r="K346" s="3"/>
      <c r="L346" s="3"/>
    </row>
    <row r="347" spans="2:12" x14ac:dyDescent="0.2">
      <c r="B347" s="2" t="str">
        <f t="shared" si="35"/>
        <v>-</v>
      </c>
      <c r="C347" s="5" t="str">
        <f t="shared" si="36"/>
        <v/>
      </c>
      <c r="D347" s="3" t="str">
        <f t="shared" si="37"/>
        <v/>
      </c>
      <c r="E347" s="3" t="str">
        <f t="shared" si="38"/>
        <v/>
      </c>
      <c r="F347" s="3" t="str">
        <f t="shared" si="39"/>
        <v/>
      </c>
      <c r="G347" s="3" t="str">
        <f t="shared" si="40"/>
        <v/>
      </c>
      <c r="H347" s="3" t="str">
        <f t="shared" si="41"/>
        <v/>
      </c>
      <c r="J347" s="3"/>
      <c r="K347" s="3"/>
      <c r="L347" s="3"/>
    </row>
    <row r="348" spans="2:12" x14ac:dyDescent="0.2">
      <c r="B348" s="2" t="str">
        <f t="shared" si="35"/>
        <v>-</v>
      </c>
      <c r="C348" s="5" t="str">
        <f t="shared" si="36"/>
        <v/>
      </c>
      <c r="D348" s="3" t="str">
        <f t="shared" si="37"/>
        <v/>
      </c>
      <c r="E348" s="3" t="str">
        <f t="shared" si="38"/>
        <v/>
      </c>
      <c r="F348" s="3" t="str">
        <f t="shared" si="39"/>
        <v/>
      </c>
      <c r="G348" s="3" t="str">
        <f t="shared" si="40"/>
        <v/>
      </c>
      <c r="H348" s="3" t="str">
        <f t="shared" si="41"/>
        <v/>
      </c>
      <c r="J348" s="3"/>
      <c r="K348" s="3"/>
      <c r="L348" s="3"/>
    </row>
    <row r="349" spans="2:12" x14ac:dyDescent="0.2">
      <c r="B349" s="2" t="str">
        <f t="shared" si="35"/>
        <v>-</v>
      </c>
      <c r="C349" s="5" t="str">
        <f t="shared" si="36"/>
        <v/>
      </c>
      <c r="D349" s="3" t="str">
        <f t="shared" si="37"/>
        <v/>
      </c>
      <c r="E349" s="3" t="str">
        <f t="shared" si="38"/>
        <v/>
      </c>
      <c r="F349" s="3" t="str">
        <f t="shared" si="39"/>
        <v/>
      </c>
      <c r="G349" s="3" t="str">
        <f t="shared" si="40"/>
        <v/>
      </c>
      <c r="H349" s="3" t="str">
        <f t="shared" si="41"/>
        <v/>
      </c>
      <c r="J349" s="3"/>
      <c r="K349" s="3"/>
      <c r="L349" s="3"/>
    </row>
    <row r="350" spans="2:12" x14ac:dyDescent="0.2">
      <c r="B350" s="2" t="str">
        <f t="shared" si="35"/>
        <v>-</v>
      </c>
      <c r="C350" s="5" t="str">
        <f t="shared" si="36"/>
        <v/>
      </c>
      <c r="D350" s="3" t="str">
        <f t="shared" si="37"/>
        <v/>
      </c>
      <c r="E350" s="3" t="str">
        <f t="shared" si="38"/>
        <v/>
      </c>
      <c r="F350" s="3" t="str">
        <f t="shared" si="39"/>
        <v/>
      </c>
      <c r="G350" s="3" t="str">
        <f t="shared" si="40"/>
        <v/>
      </c>
      <c r="H350" s="3" t="str">
        <f t="shared" si="41"/>
        <v/>
      </c>
      <c r="J350" s="3"/>
      <c r="K350" s="3"/>
      <c r="L350" s="3"/>
    </row>
    <row r="351" spans="2:12" x14ac:dyDescent="0.2">
      <c r="B351" s="2" t="str">
        <f t="shared" si="35"/>
        <v>-</v>
      </c>
      <c r="C351" s="5" t="str">
        <f t="shared" si="36"/>
        <v/>
      </c>
      <c r="D351" s="3" t="str">
        <f t="shared" si="37"/>
        <v/>
      </c>
      <c r="E351" s="3" t="str">
        <f t="shared" si="38"/>
        <v/>
      </c>
      <c r="F351" s="3" t="str">
        <f t="shared" si="39"/>
        <v/>
      </c>
      <c r="G351" s="3" t="str">
        <f t="shared" si="40"/>
        <v/>
      </c>
      <c r="H351" s="3" t="str">
        <f t="shared" si="41"/>
        <v/>
      </c>
      <c r="J351" s="3"/>
      <c r="K351" s="3"/>
      <c r="L351" s="3"/>
    </row>
    <row r="352" spans="2:12" x14ac:dyDescent="0.2">
      <c r="B352" s="2" t="str">
        <f t="shared" si="35"/>
        <v>-</v>
      </c>
      <c r="C352" s="5" t="str">
        <f t="shared" si="36"/>
        <v/>
      </c>
      <c r="D352" s="3" t="str">
        <f t="shared" si="37"/>
        <v/>
      </c>
      <c r="E352" s="3" t="str">
        <f t="shared" si="38"/>
        <v/>
      </c>
      <c r="F352" s="3" t="str">
        <f t="shared" si="39"/>
        <v/>
      </c>
      <c r="G352" s="3" t="str">
        <f t="shared" si="40"/>
        <v/>
      </c>
      <c r="H352" s="3" t="str">
        <f t="shared" si="41"/>
        <v/>
      </c>
      <c r="J352" s="3"/>
      <c r="K352" s="3"/>
      <c r="L352" s="3"/>
    </row>
    <row r="353" spans="2:12" x14ac:dyDescent="0.2">
      <c r="B353" s="2" t="str">
        <f t="shared" si="35"/>
        <v>-</v>
      </c>
      <c r="C353" s="5" t="str">
        <f t="shared" si="36"/>
        <v/>
      </c>
      <c r="D353" s="3" t="str">
        <f t="shared" si="37"/>
        <v/>
      </c>
      <c r="E353" s="3" t="str">
        <f t="shared" si="38"/>
        <v/>
      </c>
      <c r="F353" s="3" t="str">
        <f t="shared" si="39"/>
        <v/>
      </c>
      <c r="G353" s="3" t="str">
        <f t="shared" si="40"/>
        <v/>
      </c>
      <c r="H353" s="3" t="str">
        <f t="shared" si="41"/>
        <v/>
      </c>
      <c r="J353" s="3"/>
      <c r="K353" s="3"/>
      <c r="L353" s="3"/>
    </row>
    <row r="354" spans="2:12" x14ac:dyDescent="0.2">
      <c r="B354" s="2" t="str">
        <f t="shared" si="35"/>
        <v>-</v>
      </c>
      <c r="C354" s="5" t="str">
        <f t="shared" si="36"/>
        <v/>
      </c>
      <c r="D354" s="3" t="str">
        <f t="shared" si="37"/>
        <v/>
      </c>
      <c r="E354" s="3" t="str">
        <f t="shared" si="38"/>
        <v/>
      </c>
      <c r="F354" s="3" t="str">
        <f t="shared" si="39"/>
        <v/>
      </c>
      <c r="G354" s="3" t="str">
        <f t="shared" si="40"/>
        <v/>
      </c>
      <c r="H354" s="3" t="str">
        <f t="shared" si="41"/>
        <v/>
      </c>
      <c r="J354" s="3"/>
      <c r="K354" s="3"/>
      <c r="L354" s="3"/>
    </row>
    <row r="355" spans="2:12" x14ac:dyDescent="0.2">
      <c r="B355" s="2" t="str">
        <f t="shared" si="35"/>
        <v>-</v>
      </c>
      <c r="C355" s="5" t="str">
        <f t="shared" si="36"/>
        <v/>
      </c>
      <c r="D355" s="3" t="str">
        <f t="shared" si="37"/>
        <v/>
      </c>
      <c r="E355" s="3" t="str">
        <f t="shared" si="38"/>
        <v/>
      </c>
      <c r="F355" s="3" t="str">
        <f t="shared" si="39"/>
        <v/>
      </c>
      <c r="G355" s="3" t="str">
        <f t="shared" si="40"/>
        <v/>
      </c>
      <c r="H355" s="3" t="str">
        <f t="shared" si="41"/>
        <v/>
      </c>
      <c r="J355" s="3"/>
      <c r="K355" s="3"/>
      <c r="L355" s="3"/>
    </row>
    <row r="356" spans="2:12" x14ac:dyDescent="0.2">
      <c r="B356" s="2" t="str">
        <f t="shared" si="35"/>
        <v>-</v>
      </c>
      <c r="C356" s="5" t="str">
        <f t="shared" si="36"/>
        <v/>
      </c>
      <c r="D356" s="3" t="str">
        <f t="shared" si="37"/>
        <v/>
      </c>
      <c r="E356" s="3" t="str">
        <f t="shared" si="38"/>
        <v/>
      </c>
      <c r="F356" s="3" t="str">
        <f t="shared" si="39"/>
        <v/>
      </c>
      <c r="G356" s="3" t="str">
        <f t="shared" si="40"/>
        <v/>
      </c>
      <c r="H356" s="3" t="str">
        <f t="shared" si="41"/>
        <v/>
      </c>
      <c r="J356" s="3"/>
      <c r="K356" s="3"/>
      <c r="L356" s="3"/>
    </row>
    <row r="357" spans="2:12" x14ac:dyDescent="0.2">
      <c r="B357" s="2" t="str">
        <f t="shared" si="35"/>
        <v>-</v>
      </c>
      <c r="C357" s="5" t="str">
        <f t="shared" si="36"/>
        <v/>
      </c>
      <c r="D357" s="3" t="str">
        <f t="shared" si="37"/>
        <v/>
      </c>
      <c r="E357" s="3" t="str">
        <f t="shared" si="38"/>
        <v/>
      </c>
      <c r="F357" s="3" t="str">
        <f t="shared" si="39"/>
        <v/>
      </c>
      <c r="G357" s="3" t="str">
        <f t="shared" si="40"/>
        <v/>
      </c>
      <c r="H357" s="3" t="str">
        <f t="shared" si="41"/>
        <v/>
      </c>
      <c r="J357" s="3"/>
      <c r="K357" s="3"/>
      <c r="L357" s="3"/>
    </row>
    <row r="358" spans="2:12" x14ac:dyDescent="0.2">
      <c r="B358" s="2" t="str">
        <f t="shared" si="35"/>
        <v>-</v>
      </c>
      <c r="C358" s="5" t="str">
        <f t="shared" si="36"/>
        <v/>
      </c>
      <c r="D358" s="3" t="str">
        <f t="shared" si="37"/>
        <v/>
      </c>
      <c r="E358" s="3" t="str">
        <f t="shared" si="38"/>
        <v/>
      </c>
      <c r="F358" s="3" t="str">
        <f t="shared" si="39"/>
        <v/>
      </c>
      <c r="G358" s="3" t="str">
        <f t="shared" si="40"/>
        <v/>
      </c>
      <c r="H358" s="3" t="str">
        <f t="shared" si="41"/>
        <v/>
      </c>
      <c r="J358" s="3"/>
      <c r="K358" s="3"/>
      <c r="L358" s="3"/>
    </row>
    <row r="359" spans="2:12" x14ac:dyDescent="0.2">
      <c r="B359" s="2" t="str">
        <f t="shared" si="35"/>
        <v>-</v>
      </c>
      <c r="C359" s="5" t="str">
        <f t="shared" si="36"/>
        <v/>
      </c>
      <c r="D359" s="3" t="str">
        <f t="shared" si="37"/>
        <v/>
      </c>
      <c r="E359" s="3" t="str">
        <f t="shared" si="38"/>
        <v/>
      </c>
      <c r="F359" s="3" t="str">
        <f t="shared" si="39"/>
        <v/>
      </c>
      <c r="G359" s="3" t="str">
        <f t="shared" si="40"/>
        <v/>
      </c>
      <c r="H359" s="3" t="str">
        <f t="shared" si="41"/>
        <v/>
      </c>
      <c r="J359" s="3"/>
      <c r="K359" s="3"/>
      <c r="L359" s="3"/>
    </row>
    <row r="360" spans="2:12" x14ac:dyDescent="0.2">
      <c r="B360" s="2" t="str">
        <f t="shared" si="35"/>
        <v>-</v>
      </c>
      <c r="C360" s="5" t="str">
        <f t="shared" si="36"/>
        <v/>
      </c>
      <c r="D360" s="3" t="str">
        <f t="shared" si="37"/>
        <v/>
      </c>
      <c r="E360" s="3" t="str">
        <f t="shared" si="38"/>
        <v/>
      </c>
      <c r="F360" s="3" t="str">
        <f t="shared" si="39"/>
        <v/>
      </c>
      <c r="G360" s="3" t="str">
        <f t="shared" si="40"/>
        <v/>
      </c>
      <c r="H360" s="3" t="str">
        <f t="shared" si="41"/>
        <v/>
      </c>
      <c r="J360" s="3"/>
      <c r="K360" s="3"/>
      <c r="L360" s="3"/>
    </row>
    <row r="361" spans="2:12" x14ac:dyDescent="0.2">
      <c r="B361" s="2" t="str">
        <f t="shared" si="35"/>
        <v>-</v>
      </c>
      <c r="C361" s="5" t="str">
        <f t="shared" si="36"/>
        <v/>
      </c>
      <c r="D361" s="3" t="str">
        <f t="shared" si="37"/>
        <v/>
      </c>
      <c r="E361" s="3" t="str">
        <f t="shared" si="38"/>
        <v/>
      </c>
      <c r="F361" s="3" t="str">
        <f t="shared" si="39"/>
        <v/>
      </c>
      <c r="G361" s="3" t="str">
        <f t="shared" si="40"/>
        <v/>
      </c>
      <c r="H361" s="3" t="str">
        <f t="shared" si="41"/>
        <v/>
      </c>
      <c r="J361" s="3"/>
      <c r="K361" s="3"/>
      <c r="L361" s="3"/>
    </row>
    <row r="362" spans="2:12" x14ac:dyDescent="0.2">
      <c r="B362" s="2" t="str">
        <f t="shared" si="35"/>
        <v>-</v>
      </c>
      <c r="C362" s="5" t="str">
        <f t="shared" si="36"/>
        <v/>
      </c>
      <c r="D362" s="3" t="str">
        <f t="shared" si="37"/>
        <v/>
      </c>
      <c r="E362" s="3" t="str">
        <f t="shared" si="38"/>
        <v/>
      </c>
      <c r="F362" s="3" t="str">
        <f t="shared" si="39"/>
        <v/>
      </c>
      <c r="G362" s="3" t="str">
        <f t="shared" si="40"/>
        <v/>
      </c>
      <c r="H362" s="3" t="str">
        <f t="shared" si="41"/>
        <v/>
      </c>
      <c r="J362" s="3"/>
      <c r="K362" s="3"/>
      <c r="L362" s="3"/>
    </row>
    <row r="363" spans="2:12" x14ac:dyDescent="0.2">
      <c r="B363" s="2" t="str">
        <f t="shared" si="35"/>
        <v>-</v>
      </c>
      <c r="C363" s="5" t="str">
        <f t="shared" si="36"/>
        <v/>
      </c>
      <c r="D363" s="3" t="str">
        <f t="shared" si="37"/>
        <v/>
      </c>
      <c r="E363" s="3" t="str">
        <f t="shared" si="38"/>
        <v/>
      </c>
      <c r="F363" s="3" t="str">
        <f t="shared" si="39"/>
        <v/>
      </c>
      <c r="G363" s="3" t="str">
        <f t="shared" si="40"/>
        <v/>
      </c>
      <c r="H363" s="3" t="str">
        <f t="shared" si="41"/>
        <v/>
      </c>
      <c r="J363" s="3"/>
      <c r="K363" s="3"/>
      <c r="L363" s="3"/>
    </row>
    <row r="364" spans="2:12" x14ac:dyDescent="0.2">
      <c r="B364" s="2" t="str">
        <f t="shared" si="35"/>
        <v>-</v>
      </c>
      <c r="C364" s="5" t="str">
        <f t="shared" si="36"/>
        <v/>
      </c>
      <c r="D364" s="3" t="str">
        <f t="shared" si="37"/>
        <v/>
      </c>
      <c r="E364" s="3" t="str">
        <f t="shared" si="38"/>
        <v/>
      </c>
      <c r="F364" s="3" t="str">
        <f t="shared" si="39"/>
        <v/>
      </c>
      <c r="G364" s="3" t="str">
        <f t="shared" si="40"/>
        <v/>
      </c>
      <c r="H364" s="3" t="str">
        <f t="shared" si="41"/>
        <v/>
      </c>
      <c r="J364" s="3"/>
      <c r="K364" s="3"/>
      <c r="L364" s="3"/>
    </row>
    <row r="365" spans="2:12" x14ac:dyDescent="0.2">
      <c r="B365" s="2" t="str">
        <f t="shared" si="35"/>
        <v>-</v>
      </c>
      <c r="C365" s="5" t="str">
        <f t="shared" si="36"/>
        <v/>
      </c>
      <c r="D365" s="3" t="str">
        <f t="shared" si="37"/>
        <v/>
      </c>
      <c r="E365" s="3" t="str">
        <f t="shared" si="38"/>
        <v/>
      </c>
      <c r="F365" s="3" t="str">
        <f t="shared" si="39"/>
        <v/>
      </c>
      <c r="G365" s="3" t="str">
        <f t="shared" si="40"/>
        <v/>
      </c>
      <c r="H365" s="3" t="str">
        <f t="shared" si="41"/>
        <v/>
      </c>
      <c r="J365" s="3"/>
      <c r="K365" s="3"/>
      <c r="L365" s="3"/>
    </row>
    <row r="366" spans="2:12" x14ac:dyDescent="0.2">
      <c r="B366" s="2" t="str">
        <f t="shared" si="35"/>
        <v>-</v>
      </c>
      <c r="C366" s="5" t="str">
        <f t="shared" si="36"/>
        <v/>
      </c>
      <c r="D366" s="3" t="str">
        <f t="shared" si="37"/>
        <v/>
      </c>
      <c r="E366" s="3" t="str">
        <f t="shared" si="38"/>
        <v/>
      </c>
      <c r="F366" s="3" t="str">
        <f t="shared" si="39"/>
        <v/>
      </c>
      <c r="G366" s="3" t="str">
        <f t="shared" si="40"/>
        <v/>
      </c>
      <c r="H366" s="3" t="str">
        <f t="shared" si="41"/>
        <v/>
      </c>
      <c r="J366" s="3"/>
      <c r="K366" s="3"/>
      <c r="L366" s="3"/>
    </row>
    <row r="367" spans="2:12" x14ac:dyDescent="0.2">
      <c r="B367" s="2" t="str">
        <f t="shared" si="35"/>
        <v>-</v>
      </c>
      <c r="C367" s="5" t="str">
        <f t="shared" si="36"/>
        <v/>
      </c>
      <c r="D367" s="3" t="str">
        <f t="shared" si="37"/>
        <v/>
      </c>
      <c r="E367" s="3" t="str">
        <f t="shared" si="38"/>
        <v/>
      </c>
      <c r="F367" s="3" t="str">
        <f t="shared" si="39"/>
        <v/>
      </c>
      <c r="G367" s="3" t="str">
        <f t="shared" si="40"/>
        <v/>
      </c>
      <c r="H367" s="3" t="str">
        <f t="shared" si="41"/>
        <v/>
      </c>
      <c r="J367" s="3"/>
      <c r="K367" s="3"/>
      <c r="L367" s="3"/>
    </row>
    <row r="368" spans="2:12" x14ac:dyDescent="0.2">
      <c r="B368" s="2" t="str">
        <f t="shared" si="35"/>
        <v>-</v>
      </c>
      <c r="C368" s="5" t="str">
        <f t="shared" si="36"/>
        <v/>
      </c>
      <c r="D368" s="3" t="str">
        <f t="shared" si="37"/>
        <v/>
      </c>
      <c r="E368" s="3" t="str">
        <f t="shared" si="38"/>
        <v/>
      </c>
      <c r="F368" s="3" t="str">
        <f t="shared" si="39"/>
        <v/>
      </c>
      <c r="G368" s="3" t="str">
        <f t="shared" si="40"/>
        <v/>
      </c>
      <c r="H368" s="3" t="str">
        <f t="shared" si="41"/>
        <v/>
      </c>
      <c r="J368" s="3"/>
      <c r="K368" s="3"/>
      <c r="L368" s="3"/>
    </row>
    <row r="369" spans="2:12" x14ac:dyDescent="0.2">
      <c r="B369" s="2" t="str">
        <f t="shared" si="35"/>
        <v>-</v>
      </c>
      <c r="C369" s="5" t="str">
        <f t="shared" si="36"/>
        <v/>
      </c>
      <c r="D369" s="3" t="str">
        <f t="shared" si="37"/>
        <v/>
      </c>
      <c r="E369" s="3" t="str">
        <f t="shared" si="38"/>
        <v/>
      </c>
      <c r="F369" s="3" t="str">
        <f t="shared" si="39"/>
        <v/>
      </c>
      <c r="G369" s="3" t="str">
        <f t="shared" si="40"/>
        <v/>
      </c>
      <c r="H369" s="3" t="str">
        <f t="shared" si="41"/>
        <v/>
      </c>
      <c r="J369" s="3"/>
      <c r="K369" s="3"/>
      <c r="L369" s="3"/>
    </row>
    <row r="370" spans="2:12" x14ac:dyDescent="0.2">
      <c r="B370" s="2" t="str">
        <f t="shared" si="35"/>
        <v>-</v>
      </c>
      <c r="C370" s="5" t="str">
        <f t="shared" si="36"/>
        <v/>
      </c>
      <c r="D370" s="3" t="str">
        <f t="shared" si="37"/>
        <v/>
      </c>
      <c r="E370" s="3" t="str">
        <f t="shared" si="38"/>
        <v/>
      </c>
      <c r="F370" s="3" t="str">
        <f t="shared" si="39"/>
        <v/>
      </c>
      <c r="G370" s="3" t="str">
        <f t="shared" si="40"/>
        <v/>
      </c>
      <c r="H370" s="3" t="str">
        <f t="shared" si="41"/>
        <v/>
      </c>
      <c r="J370" s="3"/>
      <c r="K370" s="3"/>
      <c r="L370" s="3"/>
    </row>
    <row r="371" spans="2:12" x14ac:dyDescent="0.2">
      <c r="B371" s="304" t="s">
        <v>22</v>
      </c>
      <c r="C371" s="304"/>
      <c r="D371" s="304"/>
      <c r="E371" s="304"/>
      <c r="F371" s="304"/>
      <c r="G371" s="304"/>
      <c r="H371" s="304"/>
    </row>
    <row r="372" spans="2:12" x14ac:dyDescent="0.2">
      <c r="B372" s="4" t="s">
        <v>21</v>
      </c>
      <c r="E372" s="3">
        <f>SUM(E11:E370)</f>
        <v>8522.48</v>
      </c>
      <c r="F372" s="3">
        <f>SUM(F11:F370)</f>
        <v>100000.00000000001</v>
      </c>
      <c r="G372" s="3">
        <f>SUM(G11:G370)</f>
        <v>1499.399999999998</v>
      </c>
      <c r="H372" s="3">
        <f>SUM(H11:H370)</f>
        <v>110021.87999999986</v>
      </c>
    </row>
  </sheetData>
  <sheetProtection password="EC72" sheet="1" selectLockedCells="1"/>
  <mergeCells count="22">
    <mergeCell ref="B2:C2"/>
    <mergeCell ref="F1:V1"/>
    <mergeCell ref="J2:K2"/>
    <mergeCell ref="F7:G7"/>
    <mergeCell ref="J7:K7"/>
    <mergeCell ref="F2:G2"/>
    <mergeCell ref="B1:D1"/>
    <mergeCell ref="F4:G4"/>
    <mergeCell ref="J4:K4"/>
    <mergeCell ref="B3:C3"/>
    <mergeCell ref="F3:G3"/>
    <mergeCell ref="J3:K3"/>
    <mergeCell ref="B4:C4"/>
    <mergeCell ref="B5:C5"/>
    <mergeCell ref="F5:G5"/>
    <mergeCell ref="J5:K5"/>
    <mergeCell ref="B8:H8"/>
    <mergeCell ref="B371:H371"/>
    <mergeCell ref="B6:C6"/>
    <mergeCell ref="F6:G6"/>
    <mergeCell ref="J6:K6"/>
    <mergeCell ref="B7:C7"/>
  </mergeCells>
  <conditionalFormatting sqref="L7">
    <cfRule type="cellIs" dxfId="0" priority="1" stopIfTrue="1" operator="equal">
      <formula>"KO"</formula>
    </cfRule>
  </conditionalFormatting>
  <pageMargins left="0.78740157499999996" right="0.78740157499999996" top="0.984251969" bottom="0.984251969" header="0.4921259845" footer="0.4921259845"/>
  <pageSetup paperSize="9" orientation="portrait" horizontalDpi="0"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AL181"/>
  <sheetViews>
    <sheetView zoomScale="115" zoomScaleNormal="115" workbookViewId="0">
      <selection activeCell="C12" sqref="C12"/>
    </sheetView>
  </sheetViews>
  <sheetFormatPr baseColWidth="10" defaultRowHeight="15" x14ac:dyDescent="0.25"/>
  <cols>
    <col min="1" max="1" width="11.42578125" style="23"/>
    <col min="2" max="2" width="21.140625" style="23" customWidth="1"/>
    <col min="3" max="3" width="23.42578125" style="23" customWidth="1"/>
    <col min="4" max="4" width="3.85546875" style="23" customWidth="1"/>
    <col min="5" max="5" width="85.85546875" style="23" customWidth="1"/>
    <col min="6" max="16384" width="11.42578125" style="23"/>
  </cols>
  <sheetData>
    <row r="1" spans="1:31" x14ac:dyDescent="0.25">
      <c r="A1" s="320" t="s">
        <v>166</v>
      </c>
      <c r="B1" s="321"/>
      <c r="C1" s="321"/>
      <c r="D1" s="321"/>
      <c r="E1" s="322"/>
      <c r="F1" s="317" t="s">
        <v>112</v>
      </c>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row>
    <row r="2" spans="1:31" ht="15.75" thickBot="1" x14ac:dyDescent="0.3">
      <c r="A2" s="323"/>
      <c r="B2" s="324"/>
      <c r="C2" s="324"/>
      <c r="D2" s="324"/>
      <c r="E2" s="325"/>
      <c r="F2" s="319"/>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row>
    <row r="3" spans="1:31" ht="16.5" thickBot="1" x14ac:dyDescent="0.3">
      <c r="A3" s="28" t="s">
        <v>167</v>
      </c>
      <c r="B3" s="29"/>
      <c r="C3" s="30"/>
      <c r="D3" s="26"/>
      <c r="E3" s="27"/>
      <c r="F3" s="319"/>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row>
    <row r="4" spans="1:31" x14ac:dyDescent="0.25">
      <c r="A4" s="25"/>
      <c r="B4" s="26"/>
      <c r="C4" s="26"/>
      <c r="D4" s="26"/>
      <c r="E4" s="313"/>
      <c r="F4" s="319"/>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row>
    <row r="5" spans="1:31" x14ac:dyDescent="0.25">
      <c r="A5" s="25"/>
      <c r="B5" s="26"/>
      <c r="C5" s="26"/>
      <c r="D5" s="26"/>
      <c r="E5" s="313"/>
      <c r="F5" s="319"/>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row>
    <row r="6" spans="1:31" x14ac:dyDescent="0.25">
      <c r="A6" s="31"/>
      <c r="B6" s="26"/>
      <c r="C6" s="26"/>
      <c r="D6" s="26"/>
      <c r="E6" s="313"/>
      <c r="F6" s="319"/>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row>
    <row r="7" spans="1:31" x14ac:dyDescent="0.25">
      <c r="A7" s="25"/>
      <c r="B7" s="26"/>
      <c r="C7" s="26"/>
      <c r="D7" s="26"/>
      <c r="E7" s="313"/>
      <c r="F7" s="319"/>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row>
    <row r="8" spans="1:31" x14ac:dyDescent="0.25">
      <c r="A8" s="25"/>
      <c r="B8" s="26"/>
      <c r="C8" s="26"/>
      <c r="D8" s="26"/>
      <c r="E8" s="313"/>
      <c r="F8" s="319"/>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row>
    <row r="9" spans="1:31" x14ac:dyDescent="0.25">
      <c r="A9" s="25"/>
      <c r="B9" s="26"/>
      <c r="C9" s="26"/>
      <c r="D9" s="26"/>
      <c r="E9" s="27"/>
      <c r="F9" s="319"/>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row>
    <row r="10" spans="1:31" ht="15.75" x14ac:dyDescent="0.25">
      <c r="A10" s="32" t="s">
        <v>111</v>
      </c>
      <c r="B10" s="33"/>
      <c r="C10" s="140">
        <f>'Investissement locatif'!R5</f>
        <v>100000</v>
      </c>
      <c r="D10" s="34"/>
      <c r="E10" s="141" t="s">
        <v>114</v>
      </c>
      <c r="F10" s="319"/>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row>
    <row r="11" spans="1:31" s="37" customFormat="1" ht="40.5" customHeight="1" x14ac:dyDescent="0.25">
      <c r="A11" s="35" t="s">
        <v>110</v>
      </c>
      <c r="B11" s="36"/>
      <c r="C11" s="139">
        <f>C10*0.15</f>
        <v>15000</v>
      </c>
      <c r="D11" s="34"/>
      <c r="E11" s="312" t="s">
        <v>148</v>
      </c>
      <c r="F11" s="319"/>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row>
    <row r="12" spans="1:31" s="37" customFormat="1" ht="24.75" customHeight="1" x14ac:dyDescent="0.25">
      <c r="A12" s="35" t="s">
        <v>109</v>
      </c>
      <c r="B12" s="36"/>
      <c r="C12" s="139">
        <v>0</v>
      </c>
      <c r="D12" s="34"/>
      <c r="E12" s="312"/>
      <c r="F12" s="319"/>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row>
    <row r="13" spans="1:31" x14ac:dyDescent="0.25">
      <c r="A13" s="38"/>
      <c r="B13" s="26"/>
      <c r="C13" s="39"/>
      <c r="D13" s="34"/>
      <c r="E13" s="27"/>
      <c r="F13" s="319"/>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row>
    <row r="14" spans="1:31" ht="15.75" x14ac:dyDescent="0.25">
      <c r="A14" s="32" t="s">
        <v>108</v>
      </c>
      <c r="B14" s="33"/>
      <c r="C14" s="140">
        <f>'Investissement locatif'!R7</f>
        <v>250000</v>
      </c>
      <c r="D14" s="34"/>
      <c r="E14" s="141" t="s">
        <v>114</v>
      </c>
      <c r="F14" s="319"/>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row>
    <row r="15" spans="1:31" x14ac:dyDescent="0.25">
      <c r="A15" s="38"/>
      <c r="B15" s="26"/>
      <c r="C15" s="39"/>
      <c r="D15" s="34"/>
      <c r="E15" s="27"/>
      <c r="F15" s="319"/>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row>
    <row r="16" spans="1:31" x14ac:dyDescent="0.25">
      <c r="A16" s="40" t="s">
        <v>107</v>
      </c>
      <c r="B16" s="41"/>
      <c r="C16" s="42">
        <f>IF((C14-C10-C11-C12)&gt;0, C14-C12-C11-C10, 0)</f>
        <v>135000</v>
      </c>
      <c r="D16" s="34"/>
      <c r="E16" s="27"/>
      <c r="F16" s="319"/>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row>
    <row r="17" spans="1:31" x14ac:dyDescent="0.25">
      <c r="A17" s="38"/>
      <c r="B17" s="26"/>
      <c r="C17" s="34"/>
      <c r="D17" s="34"/>
      <c r="E17" s="27"/>
      <c r="F17" s="319"/>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row>
    <row r="18" spans="1:31" ht="15.75" x14ac:dyDescent="0.25">
      <c r="A18" s="43" t="s">
        <v>106</v>
      </c>
      <c r="B18" s="44"/>
      <c r="C18" s="142">
        <f>'Investissement locatif'!R6</f>
        <v>9</v>
      </c>
      <c r="D18" s="34"/>
      <c r="E18" s="143" t="s">
        <v>105</v>
      </c>
      <c r="F18" s="319"/>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row>
    <row r="19" spans="1:31" x14ac:dyDescent="0.25">
      <c r="A19" s="40" t="s">
        <v>104</v>
      </c>
      <c r="B19" s="41"/>
      <c r="C19" s="45">
        <f>VLOOKUP(C18, 'wwww.corrigetonimpot.Fr'!A3:B33, 2)</f>
        <v>0.24</v>
      </c>
      <c r="D19" s="46"/>
      <c r="E19" s="27"/>
      <c r="F19" s="319"/>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row>
    <row r="20" spans="1:31" x14ac:dyDescent="0.25">
      <c r="A20" s="47" t="s">
        <v>103</v>
      </c>
      <c r="B20" s="41"/>
      <c r="C20" s="45">
        <f>VLOOKUP(C18, 'wwww.corrigetonimpot.Fr'!K3:L33, 2)</f>
        <v>6.6000000000000003E-2</v>
      </c>
      <c r="D20" s="46"/>
      <c r="E20" s="27"/>
      <c r="F20" s="319"/>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row>
    <row r="21" spans="1:31" x14ac:dyDescent="0.25">
      <c r="A21" s="38"/>
      <c r="B21" s="26"/>
      <c r="C21" s="34"/>
      <c r="D21" s="34"/>
      <c r="E21" s="27"/>
      <c r="F21" s="319"/>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row>
    <row r="22" spans="1:31" x14ac:dyDescent="0.25">
      <c r="A22" s="48" t="s">
        <v>102</v>
      </c>
      <c r="B22" s="49"/>
      <c r="C22" s="50">
        <f xml:space="preserve"> IF(D6="Oui", (C16*(1-C19))*0.75, C16*(1-C19))</f>
        <v>102600</v>
      </c>
      <c r="D22" s="34"/>
      <c r="E22" s="27"/>
      <c r="F22" s="319"/>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row>
    <row r="23" spans="1:31" x14ac:dyDescent="0.25">
      <c r="A23" s="47" t="s">
        <v>101</v>
      </c>
      <c r="B23" s="41"/>
      <c r="C23" s="50">
        <f>IF(D6="Oui", (C16*(1-C20))*0.75, C16*(1-C20))</f>
        <v>126089.99999999999</v>
      </c>
      <c r="D23" s="34"/>
      <c r="E23" s="27"/>
      <c r="F23" s="319"/>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row>
    <row r="24" spans="1:31" x14ac:dyDescent="0.25">
      <c r="A24" s="38"/>
      <c r="B24" s="26"/>
      <c r="C24" s="34"/>
      <c r="D24" s="34"/>
      <c r="E24" s="27"/>
      <c r="F24" s="319"/>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row>
    <row r="25" spans="1:31" x14ac:dyDescent="0.25">
      <c r="A25" s="51" t="s">
        <v>100</v>
      </c>
      <c r="B25" s="52"/>
      <c r="C25" s="53">
        <f>C22*0.19</f>
        <v>19494</v>
      </c>
      <c r="D25" s="39"/>
      <c r="E25" s="27"/>
      <c r="F25" s="319"/>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row>
    <row r="26" spans="1:31" x14ac:dyDescent="0.25">
      <c r="A26" s="51" t="s">
        <v>66</v>
      </c>
      <c r="B26" s="52"/>
      <c r="C26" s="53">
        <f>C23*0.155</f>
        <v>19543.949999999997</v>
      </c>
      <c r="D26" s="39"/>
      <c r="E26" s="27"/>
      <c r="F26" s="319"/>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row>
    <row r="27" spans="1:31" ht="17.25" x14ac:dyDescent="0.3">
      <c r="A27" s="314" t="s">
        <v>115</v>
      </c>
      <c r="B27" s="315"/>
      <c r="C27" s="315"/>
      <c r="D27" s="315"/>
      <c r="E27" s="316"/>
      <c r="F27" s="319"/>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row>
    <row r="28" spans="1:31" x14ac:dyDescent="0.25">
      <c r="A28" s="25"/>
      <c r="B28" s="26"/>
      <c r="C28" s="26"/>
      <c r="D28" s="26"/>
      <c r="E28" s="27"/>
      <c r="F28" s="319"/>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row>
    <row r="29" spans="1:31" ht="17.25" x14ac:dyDescent="0.3">
      <c r="A29" s="25"/>
      <c r="B29" s="54" t="s">
        <v>99</v>
      </c>
      <c r="C29" s="55">
        <f>SUM(C25:C26)</f>
        <v>39037.949999999997</v>
      </c>
      <c r="D29" s="26"/>
      <c r="E29" s="27"/>
      <c r="F29" s="319"/>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row>
    <row r="30" spans="1:31" ht="15.75" thickBot="1" x14ac:dyDescent="0.3">
      <c r="A30" s="56"/>
      <c r="B30" s="57"/>
      <c r="C30" s="57"/>
      <c r="D30" s="57"/>
      <c r="E30" s="58"/>
      <c r="F30" s="319"/>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row>
    <row r="31" spans="1:31" x14ac:dyDescent="0.25">
      <c r="A31" s="22"/>
      <c r="B31" s="22"/>
      <c r="C31" s="22"/>
      <c r="D31" s="22"/>
      <c r="E31" s="2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row>
    <row r="32" spans="1:31" x14ac:dyDescent="0.25">
      <c r="A32" s="22"/>
      <c r="B32" s="22"/>
      <c r="C32" s="22"/>
      <c r="D32" s="22"/>
      <c r="E32" s="2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row>
    <row r="33" spans="1:38" x14ac:dyDescent="0.25">
      <c r="A33" s="22"/>
      <c r="B33" s="22"/>
      <c r="C33" s="22"/>
      <c r="D33" s="22"/>
      <c r="E33" s="2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row>
    <row r="34" spans="1:38" x14ac:dyDescent="0.25">
      <c r="A34" s="22"/>
      <c r="B34" s="22"/>
      <c r="C34" s="22"/>
      <c r="D34" s="22"/>
      <c r="E34" s="2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row>
    <row r="35" spans="1:38" x14ac:dyDescent="0.25">
      <c r="A35" s="22"/>
      <c r="B35" s="22"/>
      <c r="C35" s="22"/>
      <c r="D35" s="22"/>
      <c r="E35" s="2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row>
    <row r="36" spans="1:38" x14ac:dyDescent="0.25">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row>
    <row r="37" spans="1:38" x14ac:dyDescent="0.25">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row>
    <row r="38" spans="1:38" x14ac:dyDescent="0.25">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row>
    <row r="39" spans="1:38" x14ac:dyDescent="0.25">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row>
    <row r="40" spans="1:38" x14ac:dyDescent="0.25">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row>
    <row r="41" spans="1:38" x14ac:dyDescent="0.25">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row>
    <row r="42" spans="1:38" x14ac:dyDescent="0.25">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row>
    <row r="43" spans="1:38" x14ac:dyDescent="0.25">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row>
    <row r="44" spans="1:38" x14ac:dyDescent="0.25">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row>
    <row r="45" spans="1:38" x14ac:dyDescent="0.2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row>
    <row r="46" spans="1:38" x14ac:dyDescent="0.25">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row>
    <row r="47" spans="1:38" x14ac:dyDescent="0.25">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row>
    <row r="48" spans="1:38" x14ac:dyDescent="0.25">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row>
    <row r="49" spans="1:38" x14ac:dyDescent="0.2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row>
    <row r="50" spans="1:38" x14ac:dyDescent="0.25">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row>
    <row r="51" spans="1:38" x14ac:dyDescent="0.2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row>
    <row r="52" spans="1:38" x14ac:dyDescent="0.25">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row>
    <row r="53" spans="1:38" x14ac:dyDescent="0.25">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row>
    <row r="54" spans="1:38" x14ac:dyDescent="0.25">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row>
    <row r="55" spans="1:38" x14ac:dyDescent="0.25">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row>
    <row r="56" spans="1:38" x14ac:dyDescent="0.25">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row>
    <row r="57" spans="1:38" x14ac:dyDescent="0.25">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row>
    <row r="58" spans="1:38" x14ac:dyDescent="0.25">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row>
    <row r="59" spans="1:38" x14ac:dyDescent="0.2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row>
    <row r="60" spans="1:38" x14ac:dyDescent="0.25">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row>
    <row r="61" spans="1:38" x14ac:dyDescent="0.25">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row>
    <row r="62" spans="1:38" x14ac:dyDescent="0.25">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row>
    <row r="63" spans="1:38" x14ac:dyDescent="0.25">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row>
    <row r="64" spans="1:38" x14ac:dyDescent="0.2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row>
    <row r="65" spans="1:38" x14ac:dyDescent="0.25">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row>
    <row r="66" spans="1:38" x14ac:dyDescent="0.25">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row>
    <row r="67" spans="1:38" x14ac:dyDescent="0.25">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row>
    <row r="68" spans="1:38" x14ac:dyDescent="0.25">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row>
    <row r="69" spans="1:38" x14ac:dyDescent="0.25">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row>
    <row r="70" spans="1:38" x14ac:dyDescent="0.25">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row>
    <row r="71" spans="1:38" x14ac:dyDescent="0.25">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row>
    <row r="72" spans="1:38" x14ac:dyDescent="0.25">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row>
    <row r="73" spans="1:38" x14ac:dyDescent="0.25">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row>
    <row r="74" spans="1:38" x14ac:dyDescent="0.25">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row>
    <row r="75" spans="1:38" x14ac:dyDescent="0.25">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row>
    <row r="76" spans="1:38" x14ac:dyDescent="0.25">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row>
    <row r="77" spans="1:38" x14ac:dyDescent="0.2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row>
    <row r="78" spans="1:38" x14ac:dyDescent="0.25">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row>
    <row r="79" spans="1:38" x14ac:dyDescent="0.2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row>
    <row r="80" spans="1:38" x14ac:dyDescent="0.2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row>
    <row r="81" spans="1:38" x14ac:dyDescent="0.2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row>
    <row r="82" spans="1:38" x14ac:dyDescent="0.2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row>
    <row r="83" spans="1:38" x14ac:dyDescent="0.2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row>
    <row r="84" spans="1:38" x14ac:dyDescent="0.25">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row>
    <row r="85" spans="1:38" x14ac:dyDescent="0.25">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row>
    <row r="86" spans="1:38" x14ac:dyDescent="0.25">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row>
    <row r="87" spans="1:38" x14ac:dyDescent="0.25">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row>
    <row r="88" spans="1:38" x14ac:dyDescent="0.2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row>
    <row r="89" spans="1:38" x14ac:dyDescent="0.2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row>
    <row r="90" spans="1:38" x14ac:dyDescent="0.2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row>
    <row r="91" spans="1:38" x14ac:dyDescent="0.25">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row>
    <row r="92" spans="1:38" x14ac:dyDescent="0.2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row>
    <row r="93" spans="1:38" x14ac:dyDescent="0.2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row>
    <row r="94" spans="1:38" x14ac:dyDescent="0.25">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row>
    <row r="95" spans="1:38" x14ac:dyDescent="0.25">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row>
    <row r="96" spans="1:38" x14ac:dyDescent="0.2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row>
    <row r="97" spans="1:38" x14ac:dyDescent="0.2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row>
    <row r="98" spans="1:38" x14ac:dyDescent="0.25">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row>
    <row r="99" spans="1:38" x14ac:dyDescent="0.25">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row>
    <row r="100" spans="1:38" x14ac:dyDescent="0.25">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row>
    <row r="101" spans="1:38" x14ac:dyDescent="0.25">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row>
    <row r="102" spans="1:38" x14ac:dyDescent="0.25">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row>
    <row r="103" spans="1:38" x14ac:dyDescent="0.25">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row>
    <row r="104" spans="1:38" x14ac:dyDescent="0.25">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row>
    <row r="105" spans="1:38" x14ac:dyDescent="0.25">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row>
    <row r="106" spans="1:38" x14ac:dyDescent="0.25">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row>
    <row r="107" spans="1:38" x14ac:dyDescent="0.25">
      <c r="A107" s="6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row>
    <row r="108" spans="1:38" x14ac:dyDescent="0.25">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row>
    <row r="109" spans="1:38" x14ac:dyDescent="0.25">
      <c r="A109" s="62"/>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row>
    <row r="110" spans="1:38" x14ac:dyDescent="0.25">
      <c r="A110" s="62"/>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row>
    <row r="111" spans="1:38" x14ac:dyDescent="0.25">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row>
    <row r="112" spans="1:38" x14ac:dyDescent="0.25">
      <c r="A112" s="6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row>
    <row r="113" spans="1:38" x14ac:dyDescent="0.25">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row>
    <row r="114" spans="1:38" x14ac:dyDescent="0.25">
      <c r="A114" s="62"/>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row>
    <row r="115" spans="1:38" x14ac:dyDescent="0.25">
      <c r="A115" s="6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row>
    <row r="116" spans="1:38" x14ac:dyDescent="0.25">
      <c r="A116" s="62"/>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row>
    <row r="117" spans="1:38" x14ac:dyDescent="0.25">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row>
    <row r="118" spans="1:38" x14ac:dyDescent="0.25">
      <c r="A118" s="62"/>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row>
    <row r="119" spans="1:38" x14ac:dyDescent="0.25">
      <c r="A119" s="62"/>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row>
    <row r="120" spans="1:38" x14ac:dyDescent="0.25">
      <c r="A120" s="62"/>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row>
    <row r="121" spans="1:38" x14ac:dyDescent="0.25">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row>
    <row r="122" spans="1:38" x14ac:dyDescent="0.25">
      <c r="A122" s="6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row>
    <row r="123" spans="1:38" x14ac:dyDescent="0.25">
      <c r="A123" s="6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row>
    <row r="124" spans="1:38" x14ac:dyDescent="0.25">
      <c r="A124" s="62"/>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row>
    <row r="125" spans="1:38" x14ac:dyDescent="0.25">
      <c r="A125" s="6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row>
    <row r="126" spans="1:38" x14ac:dyDescent="0.25">
      <c r="A126" s="62"/>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row>
    <row r="127" spans="1:38" x14ac:dyDescent="0.25">
      <c r="A127" s="6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row>
    <row r="128" spans="1:38" x14ac:dyDescent="0.25">
      <c r="A128" s="6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row>
    <row r="129" spans="1:38" x14ac:dyDescent="0.25">
      <c r="A129" s="6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row>
    <row r="130" spans="1:38" x14ac:dyDescent="0.25">
      <c r="A130" s="62"/>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row>
    <row r="131" spans="1:38" x14ac:dyDescent="0.25">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row>
    <row r="132" spans="1:38" x14ac:dyDescent="0.25">
      <c r="A132" s="6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row>
    <row r="133" spans="1:38" x14ac:dyDescent="0.25">
      <c r="A133" s="6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row>
    <row r="134" spans="1:38" x14ac:dyDescent="0.25">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row>
    <row r="135" spans="1:38" x14ac:dyDescent="0.25">
      <c r="A135" s="6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row>
    <row r="136" spans="1:38" x14ac:dyDescent="0.25">
      <c r="A136" s="62"/>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row>
    <row r="137" spans="1:38" x14ac:dyDescent="0.25">
      <c r="A137" s="6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row>
    <row r="138" spans="1:38" x14ac:dyDescent="0.25">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row>
    <row r="139" spans="1:38" x14ac:dyDescent="0.25">
      <c r="A139" s="6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row>
    <row r="140" spans="1:38" x14ac:dyDescent="0.25">
      <c r="A140" s="6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row>
    <row r="141" spans="1:38" x14ac:dyDescent="0.25">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row>
    <row r="142" spans="1:38" x14ac:dyDescent="0.25">
      <c r="A142" s="6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row>
    <row r="143" spans="1:38" x14ac:dyDescent="0.25">
      <c r="A143" s="6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row>
    <row r="144" spans="1:38" x14ac:dyDescent="0.25">
      <c r="A144" s="6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row>
    <row r="145" spans="1:38" x14ac:dyDescent="0.25">
      <c r="A145" s="6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row>
    <row r="146" spans="1:38" x14ac:dyDescent="0.25">
      <c r="A146" s="62"/>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row>
    <row r="147" spans="1:38" x14ac:dyDescent="0.25">
      <c r="A147" s="6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row>
    <row r="148" spans="1:38" x14ac:dyDescent="0.25">
      <c r="A148" s="62"/>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row>
    <row r="149" spans="1:38" x14ac:dyDescent="0.25">
      <c r="A149" s="62"/>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row>
    <row r="150" spans="1:38" x14ac:dyDescent="0.25">
      <c r="A150" s="6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row>
    <row r="151" spans="1:38" x14ac:dyDescent="0.25">
      <c r="A151" s="62"/>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row>
    <row r="152" spans="1:38" x14ac:dyDescent="0.25">
      <c r="A152" s="62"/>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row>
    <row r="153" spans="1:38" x14ac:dyDescent="0.25">
      <c r="A153" s="6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row>
    <row r="154" spans="1:38" x14ac:dyDescent="0.25">
      <c r="A154" s="62"/>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row>
    <row r="155" spans="1:38" x14ac:dyDescent="0.25">
      <c r="A155" s="62"/>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row>
    <row r="156" spans="1:38" x14ac:dyDescent="0.25">
      <c r="A156" s="62"/>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row>
    <row r="157" spans="1:38" x14ac:dyDescent="0.25">
      <c r="A157" s="62"/>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row>
    <row r="158" spans="1:38" x14ac:dyDescent="0.25">
      <c r="A158" s="62"/>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row>
    <row r="159" spans="1:38" x14ac:dyDescent="0.25">
      <c r="A159" s="62"/>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row>
    <row r="160" spans="1:38" x14ac:dyDescent="0.25">
      <c r="A160" s="62"/>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row>
    <row r="161" spans="1:38" x14ac:dyDescent="0.25">
      <c r="A161" s="62"/>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row>
    <row r="162" spans="1:38" x14ac:dyDescent="0.25">
      <c r="A162" s="62"/>
      <c r="B162" s="62"/>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row>
    <row r="163" spans="1:38" x14ac:dyDescent="0.25">
      <c r="A163" s="62"/>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row>
    <row r="164" spans="1:38" x14ac:dyDescent="0.25">
      <c r="A164" s="62"/>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row>
    <row r="165" spans="1:38" x14ac:dyDescent="0.25">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row>
    <row r="166" spans="1:38" x14ac:dyDescent="0.25">
      <c r="A166" s="62"/>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row>
    <row r="167" spans="1:38" x14ac:dyDescent="0.25">
      <c r="A167" s="62"/>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row>
    <row r="168" spans="1:38" x14ac:dyDescent="0.25">
      <c r="A168" s="6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row>
    <row r="169" spans="1:38" x14ac:dyDescent="0.25">
      <c r="A169" s="62"/>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row>
    <row r="170" spans="1:38" x14ac:dyDescent="0.25">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row>
    <row r="171" spans="1:38" x14ac:dyDescent="0.25">
      <c r="A171" s="62"/>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row>
    <row r="172" spans="1:38" x14ac:dyDescent="0.25">
      <c r="A172" s="62"/>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row>
    <row r="173" spans="1:38" x14ac:dyDescent="0.25">
      <c r="A173" s="62"/>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row>
    <row r="174" spans="1:38" x14ac:dyDescent="0.25">
      <c r="A174" s="62"/>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row>
    <row r="175" spans="1:38" x14ac:dyDescent="0.25">
      <c r="A175" s="62"/>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row>
    <row r="176" spans="1:38" x14ac:dyDescent="0.25">
      <c r="A176" s="62"/>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row>
    <row r="177" spans="1:38" x14ac:dyDescent="0.25">
      <c r="A177" s="62"/>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row>
    <row r="178" spans="1:38" x14ac:dyDescent="0.25">
      <c r="A178" s="62"/>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row>
    <row r="179" spans="1:38" x14ac:dyDescent="0.25">
      <c r="A179" s="62"/>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row>
    <row r="180" spans="1:38" x14ac:dyDescent="0.25">
      <c r="A180" s="62"/>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row>
    <row r="181" spans="1:38" x14ac:dyDescent="0.25">
      <c r="A181" s="62"/>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row>
  </sheetData>
  <sheetProtection password="EC72" sheet="1" selectLockedCells="1"/>
  <mergeCells count="5">
    <mergeCell ref="E11:E12"/>
    <mergeCell ref="E4:E8"/>
    <mergeCell ref="A27:E27"/>
    <mergeCell ref="F1:AE30"/>
    <mergeCell ref="A1:E2"/>
  </mergeCells>
  <hyperlinks>
    <hyperlink ref="F1" r:id="rId1" xr:uid="{00000000-0004-0000-0200-000000000000}"/>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W58"/>
  <sheetViews>
    <sheetView topLeftCell="A14" workbookViewId="0">
      <selection activeCell="I48" sqref="I48"/>
    </sheetView>
  </sheetViews>
  <sheetFormatPr baseColWidth="10" defaultRowHeight="15" x14ac:dyDescent="0.25"/>
  <cols>
    <col min="1" max="6" width="11.42578125" style="144"/>
    <col min="7" max="7" width="5.140625" style="144" customWidth="1"/>
    <col min="8" max="8" width="28.85546875" style="144" customWidth="1"/>
    <col min="9" max="9" width="19.140625" style="144" customWidth="1"/>
    <col min="10" max="16384" width="11.42578125" style="144"/>
  </cols>
  <sheetData>
    <row r="1" spans="1:23" x14ac:dyDescent="0.25">
      <c r="A1" s="327" t="s">
        <v>12</v>
      </c>
      <c r="B1" s="327"/>
      <c r="C1" s="327"/>
      <c r="D1" s="327"/>
      <c r="E1" s="327"/>
      <c r="F1" s="327"/>
      <c r="G1" s="327"/>
      <c r="H1" s="327"/>
      <c r="I1" s="327"/>
      <c r="J1" s="327"/>
    </row>
    <row r="2" spans="1:23" x14ac:dyDescent="0.25">
      <c r="H2" s="144" t="s">
        <v>59</v>
      </c>
      <c r="I2" s="144">
        <v>1</v>
      </c>
      <c r="J2" s="144">
        <v>2</v>
      </c>
      <c r="K2" s="144">
        <v>3</v>
      </c>
      <c r="L2" s="144">
        <v>4</v>
      </c>
      <c r="M2" s="144">
        <v>5</v>
      </c>
      <c r="N2" s="144">
        <v>6</v>
      </c>
      <c r="O2" s="144">
        <v>7</v>
      </c>
      <c r="P2" s="144">
        <v>8</v>
      </c>
      <c r="Q2" s="144">
        <v>9</v>
      </c>
      <c r="R2" s="144">
        <v>10</v>
      </c>
      <c r="S2" s="144">
        <v>11</v>
      </c>
      <c r="T2" s="144">
        <v>12</v>
      </c>
      <c r="U2" s="144">
        <v>13</v>
      </c>
      <c r="V2" s="144">
        <v>14</v>
      </c>
      <c r="W2" s="144">
        <v>15</v>
      </c>
    </row>
    <row r="3" spans="1:23" x14ac:dyDescent="0.25">
      <c r="B3" s="326" t="s">
        <v>185</v>
      </c>
      <c r="C3" s="326"/>
      <c r="D3" s="326"/>
      <c r="E3" s="326"/>
      <c r="F3" s="326"/>
      <c r="H3" s="144" t="s">
        <v>6</v>
      </c>
      <c r="I3" s="145">
        <f>'Investissement locatif'!D27</f>
        <v>25300</v>
      </c>
      <c r="J3" s="145">
        <f>'Investissement locatif'!E27</f>
        <v>37930.28</v>
      </c>
      <c r="K3" s="145">
        <f>'Investissement locatif'!F27</f>
        <v>43018.15</v>
      </c>
      <c r="L3" s="145">
        <f>'Investissement locatif'!G27</f>
        <v>43087.83</v>
      </c>
      <c r="M3" s="145">
        <f>'Investissement locatif'!H27</f>
        <v>43158.29</v>
      </c>
      <c r="N3" s="145">
        <f>'Investissement locatif'!I27</f>
        <v>43229.54</v>
      </c>
      <c r="O3" s="145">
        <f>'Investissement locatif'!J27</f>
        <v>43748.54</v>
      </c>
      <c r="P3" s="145">
        <f>'Investissement locatif'!K27</f>
        <v>43374.37</v>
      </c>
      <c r="Q3" s="145">
        <f>'Investissement locatif'!L27</f>
        <v>43447.979999999996</v>
      </c>
      <c r="R3" s="145">
        <f>'Investissement locatif'!M27</f>
        <v>43522.41</v>
      </c>
      <c r="S3" s="145">
        <f>'Investissement locatif'!N27</f>
        <v>43597.67</v>
      </c>
      <c r="T3" s="145">
        <f>'Investissement locatif'!O27</f>
        <v>43673.770000000004</v>
      </c>
      <c r="U3" s="145">
        <f>'Investissement locatif'!P27</f>
        <v>43750.7</v>
      </c>
      <c r="V3" s="145">
        <f>'Investissement locatif'!Q27</f>
        <v>43828.479999999996</v>
      </c>
      <c r="W3" s="145">
        <f>'Investissement locatif'!R27</f>
        <v>43907.11</v>
      </c>
    </row>
    <row r="4" spans="1:23" x14ac:dyDescent="0.25">
      <c r="H4" s="144" t="s">
        <v>7</v>
      </c>
      <c r="J4" s="144">
        <f>'Investissement locatif'!C6</f>
        <v>2</v>
      </c>
    </row>
    <row r="5" spans="1:23" x14ac:dyDescent="0.25">
      <c r="B5" s="144">
        <v>0</v>
      </c>
      <c r="C5" s="144">
        <v>11294</v>
      </c>
      <c r="D5" s="146">
        <f>0</f>
        <v>0</v>
      </c>
      <c r="E5" s="144">
        <f>0</f>
        <v>0</v>
      </c>
    </row>
    <row r="6" spans="1:23" x14ac:dyDescent="0.25">
      <c r="B6" s="144">
        <v>11294</v>
      </c>
      <c r="C6" s="144">
        <v>28797</v>
      </c>
      <c r="D6" s="146">
        <v>0.11</v>
      </c>
      <c r="E6" s="145">
        <f>(C6-B6)*D6</f>
        <v>1925.33</v>
      </c>
    </row>
    <row r="7" spans="1:23" x14ac:dyDescent="0.25">
      <c r="B7" s="144">
        <v>28797</v>
      </c>
      <c r="C7" s="144">
        <v>82341</v>
      </c>
      <c r="D7" s="146">
        <f>0.3</f>
        <v>0.3</v>
      </c>
      <c r="E7" s="144">
        <f>(C7-B7)*0.3</f>
        <v>16063.199999999999</v>
      </c>
      <c r="F7" s="145">
        <f>E7+E6</f>
        <v>17988.53</v>
      </c>
    </row>
    <row r="8" spans="1:23" x14ac:dyDescent="0.25">
      <c r="B8" s="144">
        <v>82341</v>
      </c>
      <c r="C8" s="144">
        <v>177106</v>
      </c>
      <c r="D8" s="146">
        <v>0.41</v>
      </c>
      <c r="E8" s="144">
        <f>(C8-B8)*D8</f>
        <v>38853.649999999994</v>
      </c>
      <c r="F8" s="145">
        <f>SUM(E6:E8)</f>
        <v>56842.179999999993</v>
      </c>
    </row>
    <row r="9" spans="1:23" x14ac:dyDescent="0.25">
      <c r="D9" s="146">
        <f>0.45</f>
        <v>0.45</v>
      </c>
    </row>
    <row r="10" spans="1:23" x14ac:dyDescent="0.25">
      <c r="H10" s="144" t="s">
        <v>9</v>
      </c>
      <c r="I10" s="144">
        <f>IF(I3&gt;=$C$8, (I3-$C$8)*$D$9+$E$8+$E$7+$E$6, IF(I3&gt;=$C$7, (I3-$C$7)*$D$8+$E$7+$E$6, IF(I3&gt;=$C$6, (I3-$C$6)*$D$7+$E$6, IF(I3&gt;=$C$5, (I3-$C$5)*$D$6, 0))))</f>
        <v>1540.66</v>
      </c>
      <c r="J10" s="144">
        <f>IF(J3&gt;=$C$8, (J3-$C$8)*$D$9+$E$8+$E$7+$E$6, IF(J3&gt;=$C$7, (J3-$C$7)*$D$8+$E$7+$E$6, IF(J3&gt;=$C$6, (J3-$C$6)*$D$7+$E$6, IF(J3&gt;=$C$5, (J3-$C$5)*$D$6, 0))))</f>
        <v>4665.3139999999994</v>
      </c>
      <c r="K10" s="144">
        <f t="shared" ref="K10:W10" si="0">IF(K3&gt;=$C$8, (K3-$C$8)*$D$9+$E$8+$E$7+$E$6, IF(K3&gt;=$C$7, (K3-$C$7)*$D$8+$E$7+$E$6, IF(K3&gt;=$C$6, (K3-$C$6)*$D$7+$E$6, IF(K3&gt;=$C$5, (K3-$C$5)*$D$6, 0))))</f>
        <v>6191.6750000000002</v>
      </c>
      <c r="L10" s="144">
        <f t="shared" si="0"/>
        <v>6212.5790000000006</v>
      </c>
      <c r="M10" s="144">
        <f t="shared" si="0"/>
        <v>6233.7169999999996</v>
      </c>
      <c r="N10" s="144">
        <f t="shared" si="0"/>
        <v>6255.0919999999996</v>
      </c>
      <c r="O10" s="144">
        <f t="shared" si="0"/>
        <v>6410.7920000000004</v>
      </c>
      <c r="P10" s="144">
        <f t="shared" si="0"/>
        <v>6298.5410000000002</v>
      </c>
      <c r="Q10" s="144">
        <f t="shared" si="0"/>
        <v>6320.6239999999989</v>
      </c>
      <c r="R10" s="144">
        <f t="shared" si="0"/>
        <v>6342.9530000000004</v>
      </c>
      <c r="S10" s="144">
        <f t="shared" si="0"/>
        <v>6365.530999999999</v>
      </c>
      <c r="T10" s="144">
        <f t="shared" si="0"/>
        <v>6388.3610000000008</v>
      </c>
      <c r="U10" s="144">
        <f t="shared" si="0"/>
        <v>6411.4399999999987</v>
      </c>
      <c r="V10" s="144">
        <f t="shared" si="0"/>
        <v>6434.7739999999985</v>
      </c>
      <c r="W10" s="144">
        <f t="shared" si="0"/>
        <v>6458.3630000000003</v>
      </c>
    </row>
    <row r="11" spans="1:23" x14ac:dyDescent="0.25">
      <c r="B11" s="144" t="s">
        <v>0</v>
      </c>
      <c r="H11" s="144" t="s">
        <v>8</v>
      </c>
      <c r="I11" s="144">
        <f>IF(I3&gt;=$C$28, (I3-$C$28)*$D$29+$E$28+$E$27+$E$26, IF(I3&gt;=$C$27, (I3-$C$27)*$D$28+$E$27+$E$26, IF(I3&gt;=$C$26, (I3-$C$26)*$D$27+$E$26, IF(I3&gt;=$C$25, (I3-$C$25)*$D$26, 0))))</f>
        <v>298.32</v>
      </c>
      <c r="J11" s="144">
        <f>IF(J3&gt;=$C$28, (J3-$C$28)*$D$29+$E$28+$E$27+$E$26, IF(J3&gt;=$C$27, (J3-$C$27)*$D$28+$E$27+$E$26, IF(J3&gt;=$C$26, (J3-$C$26)*$D$27+$E$26, IF(J3&gt;=$C$25, (J3-$C$25)*$D$26, 0))))</f>
        <v>1687.6507999999999</v>
      </c>
      <c r="K11" s="144">
        <f t="shared" ref="K11:W11" si="1">IF(K3&gt;=$C$28, (K3-$C$28)*$D$29+$E$28+$E$27+$E$26, IF(K3&gt;=$C$27, (K3-$C$27)*$D$28+$E$27+$E$26, IF(K3&gt;=$C$26, (K3-$C$26)*$D$27+$E$26, IF(K3&gt;=$C$25, (K3-$C$25)*$D$26, 0))))</f>
        <v>2247.3165000000004</v>
      </c>
      <c r="L11" s="144">
        <f t="shared" si="1"/>
        <v>2254.9813000000004</v>
      </c>
      <c r="M11" s="144">
        <f t="shared" si="1"/>
        <v>2262.7319000000002</v>
      </c>
      <c r="N11" s="144">
        <f t="shared" si="1"/>
        <v>2270.5694000000003</v>
      </c>
      <c r="O11" s="144">
        <f t="shared" si="1"/>
        <v>2327.6594</v>
      </c>
      <c r="P11" s="144">
        <f t="shared" si="1"/>
        <v>2286.5007000000005</v>
      </c>
      <c r="Q11" s="144">
        <f t="shared" si="1"/>
        <v>2294.5977999999996</v>
      </c>
      <c r="R11" s="144">
        <f t="shared" si="1"/>
        <v>2302.7851000000005</v>
      </c>
      <c r="S11" s="144">
        <f t="shared" si="1"/>
        <v>2311.0636999999997</v>
      </c>
      <c r="T11" s="144">
        <f t="shared" si="1"/>
        <v>2319.4347000000002</v>
      </c>
      <c r="U11" s="144">
        <f t="shared" si="1"/>
        <v>2327.8969999999995</v>
      </c>
      <c r="V11" s="144">
        <f t="shared" si="1"/>
        <v>2336.4527999999996</v>
      </c>
      <c r="W11" s="144">
        <f t="shared" si="1"/>
        <v>2345.1021000000001</v>
      </c>
    </row>
    <row r="13" spans="1:23" x14ac:dyDescent="0.25">
      <c r="H13" s="144" t="s">
        <v>182</v>
      </c>
      <c r="I13" s="144">
        <f>IF('Investissement locatif'!F6="Parent isolé (T)", 1,0)</f>
        <v>0</v>
      </c>
    </row>
    <row r="14" spans="1:23" x14ac:dyDescent="0.25">
      <c r="H14" s="144" t="s">
        <v>183</v>
      </c>
      <c r="I14" s="144">
        <f>IF('Investissement locatif'!F6="Enfant élevé seul (L)", 1, 0)</f>
        <v>0</v>
      </c>
    </row>
    <row r="15" spans="1:23" x14ac:dyDescent="0.25">
      <c r="H15" s="144" t="s">
        <v>184</v>
      </c>
      <c r="I15" s="144">
        <f>IF('Investissement locatif'!F6="Invalidité", 1,0)</f>
        <v>0</v>
      </c>
    </row>
    <row r="16" spans="1:23" x14ac:dyDescent="0.25">
      <c r="H16" s="144" t="s">
        <v>15</v>
      </c>
      <c r="I16" s="144">
        <f>IF('Investissement locatif'!F6="", (J4-1)*2, (J4-1)*2-1)</f>
        <v>2</v>
      </c>
      <c r="J16" s="144">
        <f>I16</f>
        <v>2</v>
      </c>
      <c r="K16" s="144">
        <f t="shared" ref="K16:W16" si="2">J16</f>
        <v>2</v>
      </c>
      <c r="L16" s="144">
        <f t="shared" si="2"/>
        <v>2</v>
      </c>
      <c r="M16" s="144">
        <f t="shared" si="2"/>
        <v>2</v>
      </c>
      <c r="N16" s="144">
        <f t="shared" si="2"/>
        <v>2</v>
      </c>
      <c r="O16" s="144">
        <f t="shared" si="2"/>
        <v>2</v>
      </c>
      <c r="P16" s="144">
        <f t="shared" si="2"/>
        <v>2</v>
      </c>
      <c r="Q16" s="144">
        <f t="shared" si="2"/>
        <v>2</v>
      </c>
      <c r="R16" s="144">
        <f t="shared" si="2"/>
        <v>2</v>
      </c>
      <c r="S16" s="144">
        <f t="shared" si="2"/>
        <v>2</v>
      </c>
      <c r="T16" s="144">
        <f t="shared" si="2"/>
        <v>2</v>
      </c>
      <c r="U16" s="144">
        <f t="shared" si="2"/>
        <v>2</v>
      </c>
      <c r="V16" s="144">
        <f t="shared" si="2"/>
        <v>2</v>
      </c>
      <c r="W16" s="144">
        <f t="shared" si="2"/>
        <v>2</v>
      </c>
    </row>
    <row r="17" spans="1:23" x14ac:dyDescent="0.25">
      <c r="A17" s="144">
        <v>1759</v>
      </c>
      <c r="B17" s="144" t="s">
        <v>1</v>
      </c>
      <c r="H17" s="144" t="s">
        <v>10</v>
      </c>
      <c r="I17" s="144">
        <f>I10-$A$17*$I$16-$I$13*$A$19-$I$14*$A$18-$I$15*$A$20</f>
        <v>-1977.34</v>
      </c>
      <c r="J17" s="144">
        <f>J10-$A$17*$I$16-$I$13*$A$19-$I$14*$A$18-$I$15*$A$20</f>
        <v>1147.3139999999994</v>
      </c>
      <c r="K17" s="144">
        <f>K10-$A$17*$I$16-$I$13*$A$19-$I$14*$A$18-$I$15*$A$20</f>
        <v>2673.6750000000002</v>
      </c>
      <c r="L17" s="144">
        <f>L10-$A$17*$I$16-$I$13*$A$19-$I$14*$A$18-$I$15*$A$20</f>
        <v>2694.5790000000006</v>
      </c>
      <c r="M17" s="144">
        <f t="shared" ref="M17:W17" si="3">M10-$A$17*$I$16-$I$13*$A$19-$I$14*$A$18-$I$15*$A$20</f>
        <v>2715.7169999999996</v>
      </c>
      <c r="N17" s="144">
        <f t="shared" si="3"/>
        <v>2737.0919999999996</v>
      </c>
      <c r="O17" s="144">
        <f>O10-$A$17*$I$16-$I$13*$A$19-$I$14*$A$18-$I$15*$A$20</f>
        <v>2892.7920000000004</v>
      </c>
      <c r="P17" s="144">
        <f t="shared" si="3"/>
        <v>2780.5410000000002</v>
      </c>
      <c r="Q17" s="144">
        <f t="shared" si="3"/>
        <v>2802.6239999999989</v>
      </c>
      <c r="R17" s="144">
        <f t="shared" si="3"/>
        <v>2824.9530000000004</v>
      </c>
      <c r="S17" s="144">
        <f t="shared" si="3"/>
        <v>2847.530999999999</v>
      </c>
      <c r="T17" s="144">
        <f t="shared" si="3"/>
        <v>2870.3610000000008</v>
      </c>
      <c r="U17" s="144">
        <f t="shared" si="3"/>
        <v>2893.4399999999987</v>
      </c>
      <c r="V17" s="144">
        <f>V10-$A$17*$I$16-$I$13*$A$19-$I$14*$A$18-$I$15*$A$20</f>
        <v>2916.7739999999985</v>
      </c>
      <c r="W17" s="144">
        <f t="shared" si="3"/>
        <v>2940.3630000000003</v>
      </c>
    </row>
    <row r="18" spans="1:23" x14ac:dyDescent="0.25">
      <c r="A18" s="144">
        <v>1050</v>
      </c>
      <c r="B18" s="144" t="s">
        <v>2</v>
      </c>
    </row>
    <row r="19" spans="1:23" x14ac:dyDescent="0.25">
      <c r="A19" s="144">
        <v>2390</v>
      </c>
      <c r="B19" s="144" t="s">
        <v>3</v>
      </c>
    </row>
    <row r="20" spans="1:23" x14ac:dyDescent="0.25">
      <c r="A20" s="144">
        <v>3512</v>
      </c>
      <c r="B20" s="144" t="s">
        <v>4</v>
      </c>
      <c r="H20" s="144" t="s">
        <v>11</v>
      </c>
      <c r="I20" s="144">
        <f>IF(I11&gt;I17, I11, I17)</f>
        <v>298.32</v>
      </c>
      <c r="J20" s="144">
        <f>IF(J11&gt;J17, J11, J17)</f>
        <v>1687.6507999999999</v>
      </c>
      <c r="K20" s="144">
        <f t="shared" ref="K20:W20" si="4">IF(K11&gt;K17, K11, K17)</f>
        <v>2673.6750000000002</v>
      </c>
      <c r="L20" s="144">
        <f t="shared" si="4"/>
        <v>2694.5790000000006</v>
      </c>
      <c r="M20" s="144">
        <f t="shared" si="4"/>
        <v>2715.7169999999996</v>
      </c>
      <c r="N20" s="144">
        <f t="shared" si="4"/>
        <v>2737.0919999999996</v>
      </c>
      <c r="O20" s="144">
        <f t="shared" si="4"/>
        <v>2892.7920000000004</v>
      </c>
      <c r="P20" s="144">
        <f t="shared" si="4"/>
        <v>2780.5410000000002</v>
      </c>
      <c r="Q20" s="144">
        <f t="shared" si="4"/>
        <v>2802.6239999999989</v>
      </c>
      <c r="R20" s="144">
        <f t="shared" si="4"/>
        <v>2824.9530000000004</v>
      </c>
      <c r="S20" s="144">
        <f t="shared" si="4"/>
        <v>2847.530999999999</v>
      </c>
      <c r="T20" s="144">
        <f t="shared" si="4"/>
        <v>2870.3610000000008</v>
      </c>
      <c r="U20" s="144">
        <f t="shared" si="4"/>
        <v>2893.4399999999987</v>
      </c>
      <c r="V20" s="144">
        <f t="shared" si="4"/>
        <v>2916.7739999999985</v>
      </c>
      <c r="W20" s="144">
        <f t="shared" si="4"/>
        <v>2940.3630000000003</v>
      </c>
    </row>
    <row r="21" spans="1:23" x14ac:dyDescent="0.25">
      <c r="A21" s="144">
        <v>5475</v>
      </c>
      <c r="B21" s="144" t="s">
        <v>5</v>
      </c>
      <c r="H21" s="144" t="s">
        <v>17</v>
      </c>
      <c r="I21" s="144">
        <f>IF(I20&lt;=1930, (873-I20*0.4525), 0)</f>
        <v>738.01019999999994</v>
      </c>
      <c r="J21" s="144">
        <f t="shared" ref="J21:W21" si="5">IF(J20&lt;=1930, (873-J20*0.4525), 0)</f>
        <v>109.33801300000005</v>
      </c>
      <c r="K21" s="144">
        <f t="shared" si="5"/>
        <v>0</v>
      </c>
      <c r="L21" s="144">
        <f t="shared" si="5"/>
        <v>0</v>
      </c>
      <c r="M21" s="144">
        <f t="shared" si="5"/>
        <v>0</v>
      </c>
      <c r="N21" s="144">
        <f t="shared" si="5"/>
        <v>0</v>
      </c>
      <c r="O21" s="144">
        <f t="shared" si="5"/>
        <v>0</v>
      </c>
      <c r="P21" s="144">
        <f t="shared" si="5"/>
        <v>0</v>
      </c>
      <c r="Q21" s="144">
        <f t="shared" si="5"/>
        <v>0</v>
      </c>
      <c r="R21" s="144">
        <f t="shared" si="5"/>
        <v>0</v>
      </c>
      <c r="S21" s="144">
        <f t="shared" si="5"/>
        <v>0</v>
      </c>
      <c r="T21" s="144">
        <f t="shared" si="5"/>
        <v>0</v>
      </c>
      <c r="U21" s="144">
        <f t="shared" si="5"/>
        <v>0</v>
      </c>
      <c r="V21" s="144">
        <f t="shared" si="5"/>
        <v>0</v>
      </c>
      <c r="W21" s="144">
        <f t="shared" si="5"/>
        <v>0</v>
      </c>
    </row>
    <row r="22" spans="1:23" x14ac:dyDescent="0.25">
      <c r="H22" s="144" t="s">
        <v>18</v>
      </c>
      <c r="I22" s="144">
        <f>IF(I21&gt;I20, 0, I20-I21)</f>
        <v>0</v>
      </c>
      <c r="J22" s="144">
        <f t="shared" ref="J22:W22" si="6">IF(J21&gt;J20, 0, J20-J21)</f>
        <v>1578.3127869999998</v>
      </c>
      <c r="K22" s="144">
        <f t="shared" si="6"/>
        <v>2673.6750000000002</v>
      </c>
      <c r="L22" s="144">
        <f t="shared" si="6"/>
        <v>2694.5790000000006</v>
      </c>
      <c r="M22" s="144">
        <f t="shared" si="6"/>
        <v>2715.7169999999996</v>
      </c>
      <c r="N22" s="144">
        <f t="shared" si="6"/>
        <v>2737.0919999999996</v>
      </c>
      <c r="O22" s="144">
        <f t="shared" si="6"/>
        <v>2892.7920000000004</v>
      </c>
      <c r="P22" s="144">
        <f t="shared" si="6"/>
        <v>2780.5410000000002</v>
      </c>
      <c r="Q22" s="144">
        <f t="shared" si="6"/>
        <v>2802.6239999999989</v>
      </c>
      <c r="R22" s="144">
        <f t="shared" si="6"/>
        <v>2824.9530000000004</v>
      </c>
      <c r="S22" s="144">
        <f t="shared" si="6"/>
        <v>2847.530999999999</v>
      </c>
      <c r="T22" s="144">
        <f t="shared" si="6"/>
        <v>2870.3610000000008</v>
      </c>
      <c r="U22" s="144">
        <f t="shared" si="6"/>
        <v>2893.4399999999987</v>
      </c>
      <c r="V22" s="144">
        <f t="shared" si="6"/>
        <v>2916.7739999999985</v>
      </c>
      <c r="W22" s="144">
        <f t="shared" si="6"/>
        <v>2940.3630000000003</v>
      </c>
    </row>
    <row r="23" spans="1:23" x14ac:dyDescent="0.25">
      <c r="B23" s="326" t="s">
        <v>185</v>
      </c>
      <c r="C23" s="326"/>
      <c r="D23" s="326"/>
      <c r="E23" s="326"/>
      <c r="F23" s="326"/>
    </row>
    <row r="25" spans="1:23" x14ac:dyDescent="0.25">
      <c r="B25" s="144">
        <v>0</v>
      </c>
      <c r="C25" s="144">
        <f>C5*$J$4</f>
        <v>22588</v>
      </c>
      <c r="D25" s="146">
        <f>0</f>
        <v>0</v>
      </c>
      <c r="E25" s="144">
        <f>0</f>
        <v>0</v>
      </c>
    </row>
    <row r="26" spans="1:23" x14ac:dyDescent="0.25">
      <c r="B26" s="144">
        <f>B6*$J$4</f>
        <v>22588</v>
      </c>
      <c r="C26" s="144">
        <f>C6*$J$4</f>
        <v>57594</v>
      </c>
      <c r="D26" s="146">
        <v>0.11</v>
      </c>
      <c r="E26" s="145">
        <f>(C26-B26)*D26</f>
        <v>3850.66</v>
      </c>
    </row>
    <row r="27" spans="1:23" x14ac:dyDescent="0.25">
      <c r="B27" s="144">
        <f>B7*$J$4</f>
        <v>57594</v>
      </c>
      <c r="C27" s="144">
        <f>C7*$J$4</f>
        <v>164682</v>
      </c>
      <c r="D27" s="146">
        <f>0.3</f>
        <v>0.3</v>
      </c>
      <c r="E27" s="144">
        <f>(C27-B27)*0.3</f>
        <v>32126.399999999998</v>
      </c>
      <c r="F27" s="145">
        <f>E27+E26</f>
        <v>35977.06</v>
      </c>
    </row>
    <row r="28" spans="1:23" x14ac:dyDescent="0.25">
      <c r="B28" s="144">
        <f>B8*$J$4</f>
        <v>164682</v>
      </c>
      <c r="C28" s="144">
        <f>C8*$J$4</f>
        <v>354212</v>
      </c>
      <c r="D28" s="146">
        <v>0.41</v>
      </c>
      <c r="E28" s="144">
        <f>(C28-B28)*D28</f>
        <v>77707.299999999988</v>
      </c>
      <c r="F28" s="145">
        <f>SUM(E26:E28)</f>
        <v>113684.35999999999</v>
      </c>
    </row>
    <row r="29" spans="1:23" x14ac:dyDescent="0.25">
      <c r="D29" s="146">
        <f>0.45</f>
        <v>0.45</v>
      </c>
    </row>
    <row r="31" spans="1:23" x14ac:dyDescent="0.25">
      <c r="A31" s="327" t="s">
        <v>13</v>
      </c>
      <c r="B31" s="327"/>
      <c r="C31" s="327"/>
      <c r="D31" s="327"/>
      <c r="E31" s="327"/>
      <c r="F31" s="327"/>
      <c r="G31" s="327"/>
      <c r="H31" s="327"/>
      <c r="I31" s="327"/>
      <c r="J31" s="327"/>
    </row>
    <row r="32" spans="1:23" x14ac:dyDescent="0.25">
      <c r="A32" s="207"/>
      <c r="B32" s="207"/>
      <c r="C32" s="207"/>
      <c r="D32" s="207"/>
      <c r="E32" s="207"/>
      <c r="F32" s="207"/>
      <c r="G32" s="207"/>
      <c r="H32" s="207"/>
      <c r="I32" s="207"/>
      <c r="J32" s="207"/>
    </row>
    <row r="33" spans="2:23" x14ac:dyDescent="0.25">
      <c r="B33" s="144">
        <f>B25*2</f>
        <v>0</v>
      </c>
      <c r="C33" s="144">
        <f>C5*2</f>
        <v>22588</v>
      </c>
      <c r="D33" s="146">
        <v>0</v>
      </c>
      <c r="E33" s="144">
        <v>0</v>
      </c>
      <c r="H33" s="144" t="s">
        <v>14</v>
      </c>
      <c r="I33" s="144">
        <f>IF(I3&gt;=$C$37, (I3-$C$37)*$D$38+$E$37+$E$36+$E$34, IF(I3&gt;=$C$36, (I3-$C$36)*$D$37+$E$36+$E$34, IF(I3&gt;=$C$34, (I3-$C$34)*$D$36+$E$34, IF(I3&gt;=$C$33, (I3-$C$33)*$D$34, 0))))</f>
        <v>298.32</v>
      </c>
      <c r="J33" s="144">
        <f t="shared" ref="J33:W33" si="7">IF(J3&gt;=$C$37, (J3-$C$37)*$D$38+$E$37+$E$36+$E$34, IF(J3&gt;=$C$36, (J3-$C$36)*$D$37+$E$36+$E$34, IF(J3&gt;=$C$34, (J3-$C$34)*$D$36+$E$34, IF(J3&gt;=$C$33, (J3-$C$33)*$D$34, 0))))</f>
        <v>1687.6507999999999</v>
      </c>
      <c r="K33" s="144">
        <f t="shared" si="7"/>
        <v>2247.3165000000004</v>
      </c>
      <c r="L33" s="144">
        <f t="shared" si="7"/>
        <v>2254.9813000000004</v>
      </c>
      <c r="M33" s="144">
        <f t="shared" si="7"/>
        <v>2262.7319000000002</v>
      </c>
      <c r="N33" s="144">
        <f>IF(N3&gt;=$C$37, (N3-$C$37)*$D$38+$E$37+$E$36+$E$34, IF(N3&gt;=$C$36, (N3-$C$36)*$D$37+$E$36+$E$34, IF(N3&gt;=$C$34, (N3-$C$34)*$D$36+$E$34, IF(N3&gt;=$C$33, (N3-$C$33)*$D$34, 0))))</f>
        <v>2270.5694000000003</v>
      </c>
      <c r="O33" s="144">
        <f t="shared" si="7"/>
        <v>2327.6594</v>
      </c>
      <c r="P33" s="144">
        <f t="shared" si="7"/>
        <v>2286.5007000000005</v>
      </c>
      <c r="Q33" s="144">
        <f t="shared" si="7"/>
        <v>2294.5977999999996</v>
      </c>
      <c r="R33" s="144">
        <f t="shared" si="7"/>
        <v>2302.7851000000005</v>
      </c>
      <c r="S33" s="144">
        <f t="shared" si="7"/>
        <v>2311.0636999999997</v>
      </c>
      <c r="T33" s="144">
        <f t="shared" si="7"/>
        <v>2319.4347000000002</v>
      </c>
      <c r="U33" s="144">
        <f t="shared" si="7"/>
        <v>2327.8969999999995</v>
      </c>
      <c r="V33" s="144">
        <f t="shared" si="7"/>
        <v>2336.4527999999996</v>
      </c>
      <c r="W33" s="144">
        <f t="shared" si="7"/>
        <v>2345.1021000000001</v>
      </c>
    </row>
    <row r="34" spans="2:23" x14ac:dyDescent="0.25">
      <c r="B34" s="144">
        <f>C33</f>
        <v>22588</v>
      </c>
      <c r="C34" s="144">
        <f>C6*2</f>
        <v>57594</v>
      </c>
      <c r="D34" s="146">
        <v>0.11</v>
      </c>
      <c r="E34" s="144">
        <f>(C34-B34)*D34</f>
        <v>3850.66</v>
      </c>
      <c r="H34" s="144" t="s">
        <v>8</v>
      </c>
      <c r="I34" s="144">
        <f>IF(I3&gt;=$C$28, (I3-$C$28)*$D$29+$E$28+$E$27+$E$26, IF(I3&gt;=$C$27, (I3-$C$27)*$D$28+$E$27+$E$26, IF(I3&gt;=$C$26, (I3-$C$26)*$D$27+$E$26, IF(I3&gt;=$C$25, (I3-$C$25)*$D$26, 0))))</f>
        <v>298.32</v>
      </c>
      <c r="J34" s="144">
        <f t="shared" ref="J34:W34" si="8">IF(J3&gt;=$C$28, (J3-$C$28)*$D$29+$E$28+$E$27+$E$26, IF(J3&gt;=$C$27, (J3-$C$27)*$D$28+$E$27+$E$26, IF(J3&gt;=$C$26, (J3-$C$26)*$D$27+$E$26, IF(J3&gt;=$C$25, (J3-$C$25)*$D$26, 0))))</f>
        <v>1687.6507999999999</v>
      </c>
      <c r="K34" s="144">
        <f t="shared" si="8"/>
        <v>2247.3165000000004</v>
      </c>
      <c r="L34" s="144">
        <f t="shared" si="8"/>
        <v>2254.9813000000004</v>
      </c>
      <c r="M34" s="144">
        <f t="shared" si="8"/>
        <v>2262.7319000000002</v>
      </c>
      <c r="N34" s="144">
        <f t="shared" si="8"/>
        <v>2270.5694000000003</v>
      </c>
      <c r="O34" s="144">
        <f>IF(O3&gt;=$C$28, (O3-$C$28)*$D$29+$E$28+$E$27+$E$26, IF(O3&gt;=$C$27, (O3-$C$27)*$D$28+$E$27+$E$26, IF(O3&gt;=$C$26, (O3-$C$26)*$D$27+$E$26, IF(O3&gt;=$C$25, (O3-$C$25)*$D$26, 0))))</f>
        <v>2327.6594</v>
      </c>
      <c r="P34" s="144">
        <f t="shared" si="8"/>
        <v>2286.5007000000005</v>
      </c>
      <c r="Q34" s="144">
        <f t="shared" si="8"/>
        <v>2294.5977999999996</v>
      </c>
      <c r="R34" s="144">
        <f t="shared" si="8"/>
        <v>2302.7851000000005</v>
      </c>
      <c r="S34" s="144">
        <f t="shared" si="8"/>
        <v>2311.0636999999997</v>
      </c>
      <c r="T34" s="144">
        <f t="shared" si="8"/>
        <v>2319.4347000000002</v>
      </c>
      <c r="U34" s="144">
        <f t="shared" si="8"/>
        <v>2327.8969999999995</v>
      </c>
      <c r="V34" s="144">
        <f t="shared" si="8"/>
        <v>2336.4527999999996</v>
      </c>
      <c r="W34" s="144">
        <f t="shared" si="8"/>
        <v>2345.1021000000001</v>
      </c>
    </row>
    <row r="35" spans="2:23" x14ac:dyDescent="0.25">
      <c r="D35" s="146"/>
      <c r="H35" s="144" t="s">
        <v>184</v>
      </c>
      <c r="I35" s="144">
        <f>IF('Investissement locatif'!F6="Invalidité",1,0)</f>
        <v>0</v>
      </c>
    </row>
    <row r="36" spans="2:23" x14ac:dyDescent="0.25">
      <c r="B36" s="144">
        <f>C34</f>
        <v>57594</v>
      </c>
      <c r="C36" s="144">
        <f>C7*2</f>
        <v>164682</v>
      </c>
      <c r="D36" s="146">
        <v>0.3</v>
      </c>
      <c r="E36" s="144">
        <f>(C36-B36)*D36</f>
        <v>32126.399999999998</v>
      </c>
      <c r="F36" s="144">
        <f>E36+E34</f>
        <v>35977.06</v>
      </c>
      <c r="H36" s="144" t="s">
        <v>16</v>
      </c>
      <c r="I36" s="144">
        <f>IF('Investissement locatif'!F6="", (J4-2)*2, (J4-2)*2-1)</f>
        <v>0</v>
      </c>
      <c r="J36" s="144">
        <f t="shared" ref="J36:W36" si="9">($J$4-2)*2</f>
        <v>0</v>
      </c>
      <c r="K36" s="144">
        <f t="shared" si="9"/>
        <v>0</v>
      </c>
      <c r="L36" s="144">
        <f t="shared" si="9"/>
        <v>0</v>
      </c>
      <c r="M36" s="144">
        <f t="shared" si="9"/>
        <v>0</v>
      </c>
      <c r="N36" s="144">
        <f t="shared" si="9"/>
        <v>0</v>
      </c>
      <c r="O36" s="144">
        <f t="shared" si="9"/>
        <v>0</v>
      </c>
      <c r="P36" s="144">
        <f t="shared" si="9"/>
        <v>0</v>
      </c>
      <c r="Q36" s="144">
        <f t="shared" si="9"/>
        <v>0</v>
      </c>
      <c r="R36" s="144">
        <f t="shared" si="9"/>
        <v>0</v>
      </c>
      <c r="S36" s="144">
        <f t="shared" si="9"/>
        <v>0</v>
      </c>
      <c r="T36" s="144">
        <f t="shared" si="9"/>
        <v>0</v>
      </c>
      <c r="U36" s="144">
        <f t="shared" si="9"/>
        <v>0</v>
      </c>
      <c r="V36" s="144">
        <f t="shared" si="9"/>
        <v>0</v>
      </c>
      <c r="W36" s="144">
        <f t="shared" si="9"/>
        <v>0</v>
      </c>
    </row>
    <row r="37" spans="2:23" x14ac:dyDescent="0.25">
      <c r="B37" s="144">
        <f>C36</f>
        <v>164682</v>
      </c>
      <c r="C37" s="144">
        <f>C8*2</f>
        <v>354212</v>
      </c>
      <c r="D37" s="146">
        <v>0.41</v>
      </c>
      <c r="E37" s="144">
        <f>(C37-B37)*D37</f>
        <v>77707.299999999988</v>
      </c>
      <c r="F37" s="144">
        <f>E37+E36+E34</f>
        <v>113684.35999999999</v>
      </c>
      <c r="H37" s="144" t="s">
        <v>10</v>
      </c>
      <c r="I37" s="144">
        <f>I33-$A$17*$I$36-$I$35*$A$20</f>
        <v>298.32</v>
      </c>
      <c r="J37" s="144">
        <f t="shared" ref="J37:V37" si="10">J33-$A$17*$I$36-$I$35*$A$20</f>
        <v>1687.6507999999999</v>
      </c>
      <c r="K37" s="144">
        <f t="shared" si="10"/>
        <v>2247.3165000000004</v>
      </c>
      <c r="L37" s="144">
        <f t="shared" si="10"/>
        <v>2254.9813000000004</v>
      </c>
      <c r="M37" s="144">
        <f t="shared" si="10"/>
        <v>2262.7319000000002</v>
      </c>
      <c r="N37" s="144">
        <f t="shared" si="10"/>
        <v>2270.5694000000003</v>
      </c>
      <c r="O37" s="144">
        <f t="shared" si="10"/>
        <v>2327.6594</v>
      </c>
      <c r="P37" s="144">
        <f t="shared" si="10"/>
        <v>2286.5007000000005</v>
      </c>
      <c r="Q37" s="144">
        <f t="shared" si="10"/>
        <v>2294.5977999999996</v>
      </c>
      <c r="R37" s="144">
        <f t="shared" si="10"/>
        <v>2302.7851000000005</v>
      </c>
      <c r="S37" s="144">
        <f t="shared" si="10"/>
        <v>2311.0636999999997</v>
      </c>
      <c r="T37" s="144">
        <f t="shared" si="10"/>
        <v>2319.4347000000002</v>
      </c>
      <c r="U37" s="144">
        <f t="shared" si="10"/>
        <v>2327.8969999999995</v>
      </c>
      <c r="V37" s="144">
        <f t="shared" si="10"/>
        <v>2336.4527999999996</v>
      </c>
      <c r="W37" s="144">
        <f>W33-$A$17*$I$36-$I$35*$A$20</f>
        <v>2345.1021000000001</v>
      </c>
    </row>
    <row r="38" spans="2:23" x14ac:dyDescent="0.25">
      <c r="D38" s="146">
        <v>0.45</v>
      </c>
    </row>
    <row r="39" spans="2:23" x14ac:dyDescent="0.25">
      <c r="H39" s="144" t="s">
        <v>11</v>
      </c>
      <c r="I39" s="144">
        <f>IF(I34&gt;I37, I34, I37)</f>
        <v>298.32</v>
      </c>
      <c r="J39" s="144">
        <f>IF(J34&gt;J37, J34, J37)</f>
        <v>1687.6507999999999</v>
      </c>
      <c r="K39" s="144">
        <f t="shared" ref="K39:W39" si="11">IF(K34&gt;K37, K34, K37)</f>
        <v>2247.3165000000004</v>
      </c>
      <c r="L39" s="144">
        <f t="shared" si="11"/>
        <v>2254.9813000000004</v>
      </c>
      <c r="M39" s="144">
        <f>IF(M34&gt;M37, M34, M37)</f>
        <v>2262.7319000000002</v>
      </c>
      <c r="N39" s="144">
        <f t="shared" si="11"/>
        <v>2270.5694000000003</v>
      </c>
      <c r="O39" s="144">
        <f t="shared" si="11"/>
        <v>2327.6594</v>
      </c>
      <c r="P39" s="144">
        <f t="shared" si="11"/>
        <v>2286.5007000000005</v>
      </c>
      <c r="Q39" s="144">
        <f t="shared" si="11"/>
        <v>2294.5977999999996</v>
      </c>
      <c r="R39" s="144">
        <f t="shared" si="11"/>
        <v>2302.7851000000005</v>
      </c>
      <c r="S39" s="144">
        <f t="shared" si="11"/>
        <v>2311.0636999999997</v>
      </c>
      <c r="T39" s="144">
        <f t="shared" si="11"/>
        <v>2319.4347000000002</v>
      </c>
      <c r="U39" s="144">
        <f t="shared" si="11"/>
        <v>2327.8969999999995</v>
      </c>
      <c r="V39" s="144">
        <f t="shared" si="11"/>
        <v>2336.4527999999996</v>
      </c>
      <c r="W39" s="144">
        <f t="shared" si="11"/>
        <v>2345.1021000000001</v>
      </c>
    </row>
    <row r="40" spans="2:23" x14ac:dyDescent="0.25">
      <c r="H40" s="144" t="s">
        <v>17</v>
      </c>
      <c r="I40" s="144">
        <f>IF(I39&lt;=3192, 1444-I39*0.4525, 0)</f>
        <v>1309.0101999999999</v>
      </c>
      <c r="J40" s="144">
        <f t="shared" ref="J40:W40" si="12">IF(J39&lt;=3192, 1444-J39*0.4525, 0)</f>
        <v>680.33801300000005</v>
      </c>
      <c r="K40" s="144">
        <f t="shared" si="12"/>
        <v>427.08928374999982</v>
      </c>
      <c r="L40" s="144">
        <f t="shared" si="12"/>
        <v>423.62096174999976</v>
      </c>
      <c r="M40" s="144">
        <f t="shared" si="12"/>
        <v>420.1138152499999</v>
      </c>
      <c r="N40" s="144">
        <f t="shared" si="12"/>
        <v>416.56734649999976</v>
      </c>
      <c r="O40" s="144">
        <f t="shared" si="12"/>
        <v>390.7341214999999</v>
      </c>
      <c r="P40" s="144">
        <f t="shared" si="12"/>
        <v>409.35843324999973</v>
      </c>
      <c r="Q40" s="144">
        <f t="shared" si="12"/>
        <v>405.69449550000013</v>
      </c>
      <c r="R40" s="144">
        <f t="shared" si="12"/>
        <v>401.98974224999984</v>
      </c>
      <c r="S40" s="144">
        <f t="shared" si="12"/>
        <v>398.24367575000019</v>
      </c>
      <c r="T40" s="144">
        <f t="shared" si="12"/>
        <v>394.45579824999982</v>
      </c>
      <c r="U40" s="144">
        <f t="shared" si="12"/>
        <v>390.62660750000009</v>
      </c>
      <c r="V40" s="144">
        <f t="shared" si="12"/>
        <v>386.75510800000006</v>
      </c>
      <c r="W40" s="144">
        <f t="shared" si="12"/>
        <v>382.84129974999996</v>
      </c>
    </row>
    <row r="41" spans="2:23" x14ac:dyDescent="0.25">
      <c r="H41" s="144" t="s">
        <v>18</v>
      </c>
      <c r="I41" s="144">
        <f>IF(I40&gt;I39, 0, I39-I40)</f>
        <v>0</v>
      </c>
      <c r="J41" s="144">
        <f t="shared" ref="J41:W41" si="13">IF(J40&gt;J39, 0, J39-J40)</f>
        <v>1007.3127869999998</v>
      </c>
      <c r="K41" s="144">
        <f>IF(K40&gt;K39, 0, K39-K40)</f>
        <v>1820.2272162500005</v>
      </c>
      <c r="L41" s="144">
        <f t="shared" si="13"/>
        <v>1831.3603382500005</v>
      </c>
      <c r="M41" s="144">
        <f t="shared" si="13"/>
        <v>1842.6180847500004</v>
      </c>
      <c r="N41" s="144">
        <f t="shared" si="13"/>
        <v>1854.0020535000006</v>
      </c>
      <c r="O41" s="144">
        <f t="shared" si="13"/>
        <v>1936.9252785000001</v>
      </c>
      <c r="P41" s="144">
        <f>IF(P40&gt;P39, 0, P39-P40)</f>
        <v>1877.1422667500008</v>
      </c>
      <c r="Q41" s="144">
        <f t="shared" si="13"/>
        <v>1888.9033044999994</v>
      </c>
      <c r="R41" s="144">
        <f t="shared" si="13"/>
        <v>1900.7953577500007</v>
      </c>
      <c r="S41" s="144">
        <f t="shared" si="13"/>
        <v>1912.8200242499995</v>
      </c>
      <c r="T41" s="144">
        <f t="shared" si="13"/>
        <v>1924.9789017500004</v>
      </c>
      <c r="U41" s="144">
        <f t="shared" si="13"/>
        <v>1937.2703924999994</v>
      </c>
      <c r="V41" s="144">
        <f t="shared" si="13"/>
        <v>1949.6976919999995</v>
      </c>
      <c r="W41" s="144">
        <f t="shared" si="13"/>
        <v>1962.2608002500001</v>
      </c>
    </row>
    <row r="43" spans="2:23" x14ac:dyDescent="0.25">
      <c r="H43" s="144">
        <f>IF('Investissement locatif'!C5="Célibataire-Divorcé-Veuf", VLOOKUP('Investissement locatif'!F5, www.corrigetonimpot!C48:D52, 2, FALSE), VLOOKUP('Investissement locatif'!F5, www.corrigetonimpot!C54:D58, 2, FALSE))</f>
        <v>2</v>
      </c>
    </row>
    <row r="48" spans="2:23" x14ac:dyDescent="0.25">
      <c r="B48" s="144" t="s">
        <v>175</v>
      </c>
      <c r="C48" s="144">
        <v>0</v>
      </c>
      <c r="D48" s="144">
        <v>1</v>
      </c>
      <c r="I48" s="209" t="s">
        <v>134</v>
      </c>
      <c r="K48" s="144">
        <v>1</v>
      </c>
      <c r="M48" s="144" t="s">
        <v>178</v>
      </c>
    </row>
    <row r="49" spans="2:13" x14ac:dyDescent="0.25">
      <c r="C49" s="144">
        <v>1</v>
      </c>
      <c r="D49" s="144">
        <v>1.5</v>
      </c>
      <c r="I49" s="209" t="s">
        <v>188</v>
      </c>
      <c r="K49" s="144">
        <f>K48+1</f>
        <v>2</v>
      </c>
      <c r="M49" s="144" t="s">
        <v>176</v>
      </c>
    </row>
    <row r="50" spans="2:13" x14ac:dyDescent="0.25">
      <c r="C50" s="144">
        <v>2</v>
      </c>
      <c r="D50" s="144">
        <v>2</v>
      </c>
      <c r="I50" s="209" t="s">
        <v>189</v>
      </c>
      <c r="K50" s="144">
        <f t="shared" ref="K50:K56" si="14">K49+1</f>
        <v>3</v>
      </c>
      <c r="M50" s="144" t="s">
        <v>177</v>
      </c>
    </row>
    <row r="51" spans="2:13" x14ac:dyDescent="0.25">
      <c r="C51" s="144">
        <v>3</v>
      </c>
      <c r="D51" s="144">
        <v>3</v>
      </c>
      <c r="I51" s="209" t="s">
        <v>195</v>
      </c>
      <c r="K51" s="144">
        <f t="shared" si="14"/>
        <v>4</v>
      </c>
    </row>
    <row r="52" spans="2:13" x14ac:dyDescent="0.25">
      <c r="C52" s="144">
        <v>4</v>
      </c>
      <c r="D52" s="144">
        <v>4</v>
      </c>
      <c r="I52" s="209" t="s">
        <v>190</v>
      </c>
      <c r="K52" s="144">
        <f t="shared" si="14"/>
        <v>5</v>
      </c>
    </row>
    <row r="53" spans="2:13" x14ac:dyDescent="0.25">
      <c r="I53" s="209" t="s">
        <v>191</v>
      </c>
      <c r="K53" s="144">
        <f t="shared" si="14"/>
        <v>6</v>
      </c>
    </row>
    <row r="54" spans="2:13" x14ac:dyDescent="0.25">
      <c r="B54" s="144" t="s">
        <v>181</v>
      </c>
      <c r="C54" s="144">
        <v>0</v>
      </c>
      <c r="D54" s="144">
        <v>2</v>
      </c>
      <c r="I54" s="209" t="s">
        <v>192</v>
      </c>
      <c r="K54" s="144">
        <f t="shared" si="14"/>
        <v>7</v>
      </c>
    </row>
    <row r="55" spans="2:13" x14ac:dyDescent="0.25">
      <c r="C55" s="144">
        <v>1</v>
      </c>
      <c r="D55" s="144">
        <v>2.5</v>
      </c>
      <c r="I55" s="209" t="s">
        <v>193</v>
      </c>
      <c r="K55" s="144">
        <f t="shared" si="14"/>
        <v>8</v>
      </c>
    </row>
    <row r="56" spans="2:13" x14ac:dyDescent="0.25">
      <c r="C56" s="144">
        <v>2</v>
      </c>
      <c r="D56" s="144">
        <v>3</v>
      </c>
      <c r="I56" s="209" t="s">
        <v>194</v>
      </c>
      <c r="K56" s="144">
        <f t="shared" si="14"/>
        <v>9</v>
      </c>
    </row>
    <row r="57" spans="2:13" x14ac:dyDescent="0.25">
      <c r="C57" s="144">
        <v>3</v>
      </c>
      <c r="D57" s="144">
        <v>4</v>
      </c>
      <c r="H57" s="203"/>
    </row>
    <row r="58" spans="2:13" x14ac:dyDescent="0.25">
      <c r="C58" s="144">
        <v>4</v>
      </c>
      <c r="D58" s="144">
        <v>5</v>
      </c>
    </row>
  </sheetData>
  <sheetProtection algorithmName="SHA-512" hashValue="ly4RCe24N2cEahkkBRowb6m6aUm4W9FKOBDVoJuC2/OCbfu6m/Bl9qI8p8egmOibQdvxjCBEea3YWOKY8UT7tg==" saltValue="3blnOlhOSD3pm0iVloqUxw==" spinCount="100000" sheet="1" selectLockedCells="1"/>
  <mergeCells count="4">
    <mergeCell ref="B3:F3"/>
    <mergeCell ref="B23:F23"/>
    <mergeCell ref="A1:J1"/>
    <mergeCell ref="A31:J3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dimension ref="A1:W58"/>
  <sheetViews>
    <sheetView workbookViewId="0">
      <selection activeCell="H25" sqref="A1:IV65536"/>
    </sheetView>
  </sheetViews>
  <sheetFormatPr baseColWidth="10" defaultRowHeight="15" x14ac:dyDescent="0.25"/>
  <cols>
    <col min="1" max="6" width="11.42578125" style="144"/>
    <col min="7" max="7" width="5.140625" style="144" customWidth="1"/>
    <col min="8" max="8" width="28.85546875" style="144" customWidth="1"/>
    <col min="9" max="16384" width="11.42578125" style="144"/>
  </cols>
  <sheetData>
    <row r="1" spans="1:23" x14ac:dyDescent="0.25">
      <c r="A1" s="327" t="s">
        <v>12</v>
      </c>
      <c r="B1" s="327"/>
      <c r="C1" s="327"/>
      <c r="D1" s="327"/>
      <c r="E1" s="327"/>
      <c r="F1" s="327"/>
      <c r="G1" s="327"/>
      <c r="H1" s="327"/>
      <c r="I1" s="327"/>
      <c r="J1" s="327"/>
    </row>
    <row r="2" spans="1:23" x14ac:dyDescent="0.25">
      <c r="H2" s="144" t="s">
        <v>59</v>
      </c>
      <c r="I2" s="144">
        <v>1</v>
      </c>
      <c r="J2" s="144">
        <v>2</v>
      </c>
      <c r="K2" s="144">
        <v>3</v>
      </c>
      <c r="L2" s="144">
        <v>4</v>
      </c>
      <c r="M2" s="144">
        <v>5</v>
      </c>
      <c r="N2" s="144">
        <v>6</v>
      </c>
      <c r="O2" s="144">
        <v>7</v>
      </c>
      <c r="P2" s="144">
        <v>8</v>
      </c>
      <c r="Q2" s="144">
        <v>9</v>
      </c>
      <c r="R2" s="144">
        <v>10</v>
      </c>
      <c r="S2" s="144">
        <v>11</v>
      </c>
      <c r="T2" s="144">
        <v>12</v>
      </c>
      <c r="U2" s="144">
        <v>13</v>
      </c>
      <c r="V2" s="144">
        <v>14</v>
      </c>
      <c r="W2" s="144">
        <v>15</v>
      </c>
    </row>
    <row r="3" spans="1:23" x14ac:dyDescent="0.25">
      <c r="B3" s="326" t="s">
        <v>185</v>
      </c>
      <c r="C3" s="326"/>
      <c r="D3" s="326"/>
      <c r="E3" s="326"/>
      <c r="F3" s="326"/>
      <c r="H3" s="144" t="s">
        <v>6</v>
      </c>
      <c r="I3" s="145">
        <f>'Investissement locatif'!D14</f>
        <v>36000</v>
      </c>
      <c r="J3" s="145">
        <f>'Investissement locatif'!E14</f>
        <v>36000</v>
      </c>
      <c r="K3" s="145">
        <f>'Investissement locatif'!F14</f>
        <v>36000</v>
      </c>
      <c r="L3" s="145">
        <f>'Investissement locatif'!G14</f>
        <v>36000</v>
      </c>
      <c r="M3" s="145">
        <f>'Investissement locatif'!H14</f>
        <v>36000</v>
      </c>
      <c r="N3" s="145">
        <f>'Investissement locatif'!I14</f>
        <v>36000</v>
      </c>
      <c r="O3" s="145">
        <f>'Investissement locatif'!J14</f>
        <v>36000</v>
      </c>
      <c r="P3" s="145">
        <f>'Investissement locatif'!K14</f>
        <v>36000</v>
      </c>
      <c r="Q3" s="145">
        <f>'Investissement locatif'!L14</f>
        <v>36000</v>
      </c>
      <c r="R3" s="145">
        <f>'Investissement locatif'!M14</f>
        <v>36000</v>
      </c>
      <c r="S3" s="145">
        <f>'Investissement locatif'!N14</f>
        <v>36000</v>
      </c>
      <c r="T3" s="145">
        <f>'Investissement locatif'!O14</f>
        <v>36000</v>
      </c>
      <c r="U3" s="145">
        <f>'Investissement locatif'!P14</f>
        <v>36000</v>
      </c>
      <c r="V3" s="145">
        <f>'Investissement locatif'!Q14</f>
        <v>36000</v>
      </c>
      <c r="W3" s="145">
        <f>'Investissement locatif'!R14</f>
        <v>36000</v>
      </c>
    </row>
    <row r="4" spans="1:23" x14ac:dyDescent="0.25">
      <c r="H4" s="144" t="s">
        <v>7</v>
      </c>
      <c r="J4" s="144">
        <f>'Investissement locatif'!C6</f>
        <v>2</v>
      </c>
    </row>
    <row r="5" spans="1:23" x14ac:dyDescent="0.25">
      <c r="B5" s="144">
        <v>0</v>
      </c>
      <c r="C5" s="144">
        <v>11294</v>
      </c>
      <c r="D5" s="146">
        <f>0</f>
        <v>0</v>
      </c>
      <c r="E5" s="144">
        <f>0</f>
        <v>0</v>
      </c>
    </row>
    <row r="6" spans="1:23" x14ac:dyDescent="0.25">
      <c r="B6" s="144">
        <v>11294</v>
      </c>
      <c r="C6" s="144">
        <v>28797</v>
      </c>
      <c r="D6" s="146">
        <v>0.11</v>
      </c>
      <c r="E6" s="145">
        <f>(C6-B6)*D6</f>
        <v>1925.33</v>
      </c>
    </row>
    <row r="7" spans="1:23" x14ac:dyDescent="0.25">
      <c r="B7" s="144">
        <v>28797</v>
      </c>
      <c r="C7" s="144">
        <v>82341</v>
      </c>
      <c r="D7" s="146">
        <f>0.3</f>
        <v>0.3</v>
      </c>
      <c r="E7" s="144">
        <f>(C7-B7)*0.3</f>
        <v>16063.199999999999</v>
      </c>
      <c r="F7" s="145">
        <f>E7+E6</f>
        <v>17988.53</v>
      </c>
    </row>
    <row r="8" spans="1:23" x14ac:dyDescent="0.25">
      <c r="B8" s="144">
        <v>82341</v>
      </c>
      <c r="C8" s="144">
        <v>177106</v>
      </c>
      <c r="D8" s="146">
        <v>0.41</v>
      </c>
      <c r="E8" s="144">
        <f>(C8-B8)*D8</f>
        <v>38853.649999999994</v>
      </c>
      <c r="F8" s="145">
        <f>SUM(E6:E8)</f>
        <v>56842.179999999993</v>
      </c>
    </row>
    <row r="9" spans="1:23" x14ac:dyDescent="0.25">
      <c r="D9" s="146">
        <f>0.45</f>
        <v>0.45</v>
      </c>
    </row>
    <row r="10" spans="1:23" x14ac:dyDescent="0.25">
      <c r="H10" s="144" t="s">
        <v>9</v>
      </c>
      <c r="I10" s="144">
        <f>IF(I3&gt;=$C$8, (I3-$C$8)*$D$9+$E$8+$E$7+$E$6, IF(I3&gt;=$C$7, (I3-$C$7)*$D$8+$E$7+$E$6, IF(I3&gt;=$C$6, (I3-$C$6)*$D$7+$E$6, IF(I3&gt;=$C$5, (I3-$C$5)*$D$6, 0))))</f>
        <v>4086.23</v>
      </c>
      <c r="J10" s="144">
        <f>IF(J3&gt;=$C$8, (J3-$C$8)*$D$9+$E$8+$E$7+$E$6, IF(J3&gt;=$C$7, (J3-$C$7)*$D$8+$E$7+$E$6, IF(J3&gt;=$C$6, (J3-$C$6)*$D$7+$E$6, IF(J3&gt;=$C$5, (J3-$C$5)*$D$6, 0))))</f>
        <v>4086.23</v>
      </c>
      <c r="K10" s="144">
        <f t="shared" ref="K10:W10" si="0">IF(K3&gt;=$C$8, (K3-$C$8)*$D$9+$E$8+$E$7+$E$6, IF(K3&gt;=$C$7, (K3-$C$7)*$D$8+$E$7+$E$6, IF(K3&gt;=$C$6, (K3-$C$6)*$D$7+$E$6, IF(K3&gt;=$C$5, (K3-$C$5)*$D$6, 0))))</f>
        <v>4086.23</v>
      </c>
      <c r="L10" s="144">
        <f t="shared" si="0"/>
        <v>4086.23</v>
      </c>
      <c r="M10" s="144">
        <f t="shared" si="0"/>
        <v>4086.23</v>
      </c>
      <c r="N10" s="144">
        <f t="shared" si="0"/>
        <v>4086.23</v>
      </c>
      <c r="O10" s="144">
        <f t="shared" si="0"/>
        <v>4086.23</v>
      </c>
      <c r="P10" s="144">
        <f t="shared" si="0"/>
        <v>4086.23</v>
      </c>
      <c r="Q10" s="144">
        <f t="shared" si="0"/>
        <v>4086.23</v>
      </c>
      <c r="R10" s="144">
        <f t="shared" si="0"/>
        <v>4086.23</v>
      </c>
      <c r="S10" s="144">
        <f t="shared" si="0"/>
        <v>4086.23</v>
      </c>
      <c r="T10" s="144">
        <f t="shared" si="0"/>
        <v>4086.23</v>
      </c>
      <c r="U10" s="144">
        <f t="shared" si="0"/>
        <v>4086.23</v>
      </c>
      <c r="V10" s="144">
        <f t="shared" si="0"/>
        <v>4086.23</v>
      </c>
      <c r="W10" s="144">
        <f t="shared" si="0"/>
        <v>4086.23</v>
      </c>
    </row>
    <row r="11" spans="1:23" x14ac:dyDescent="0.25">
      <c r="B11" s="144" t="s">
        <v>0</v>
      </c>
      <c r="H11" s="144" t="s">
        <v>8</v>
      </c>
      <c r="I11" s="144">
        <f>IF(I3&gt;=$C$28, (I3-$C$28)*$D$29+$E$28+$E$27+$E$26, IF(I3&gt;=$C$27, (I3-$C$27)*$D$28+$E$27+$E$26, IF(I3&gt;=$C$26, (I3-$C$26)*$D$27+$E$26, IF(I3&gt;=$C$25, (I3-$C$25)*$D$26, 0))))</f>
        <v>1475.32</v>
      </c>
      <c r="J11" s="144">
        <f>IF(J3&gt;=$C$28, (J3-$C$28)*$D$29+$E$28+$E$27+$E$26, IF(J3&gt;=$C$27, (J3-$C$27)*$D$28+$E$27+$E$26, IF(J3&gt;=$C$26, (J3-$C$26)*$D$27+$E$26, IF(J3&gt;=$C$25, (J3-$C$25)*$D$26, 0))))</f>
        <v>1475.32</v>
      </c>
      <c r="K11" s="144">
        <f t="shared" ref="K11:W11" si="1">IF(K3&gt;=$C$28, (K3-$C$28)*$D$29+$E$28+$E$27+$E$26, IF(K3&gt;=$C$27, (K3-$C$27)*$D$28+$E$27+$E$26, IF(K3&gt;=$C$26, (K3-$C$26)*$D$27+$E$26, IF(K3&gt;=$C$25, (K3-$C$25)*$D$26, 0))))</f>
        <v>1475.32</v>
      </c>
      <c r="L11" s="144">
        <f t="shared" si="1"/>
        <v>1475.32</v>
      </c>
      <c r="M11" s="144">
        <f t="shared" si="1"/>
        <v>1475.32</v>
      </c>
      <c r="N11" s="144">
        <f t="shared" si="1"/>
        <v>1475.32</v>
      </c>
      <c r="O11" s="144">
        <f t="shared" si="1"/>
        <v>1475.32</v>
      </c>
      <c r="P11" s="144">
        <f t="shared" si="1"/>
        <v>1475.32</v>
      </c>
      <c r="Q11" s="144">
        <f t="shared" si="1"/>
        <v>1475.32</v>
      </c>
      <c r="R11" s="144">
        <f t="shared" si="1"/>
        <v>1475.32</v>
      </c>
      <c r="S11" s="144">
        <f t="shared" si="1"/>
        <v>1475.32</v>
      </c>
      <c r="T11" s="144">
        <f t="shared" si="1"/>
        <v>1475.32</v>
      </c>
      <c r="U11" s="144">
        <f t="shared" si="1"/>
        <v>1475.32</v>
      </c>
      <c r="V11" s="144">
        <f t="shared" si="1"/>
        <v>1475.32</v>
      </c>
      <c r="W11" s="144">
        <f t="shared" si="1"/>
        <v>1475.32</v>
      </c>
    </row>
    <row r="13" spans="1:23" x14ac:dyDescent="0.25">
      <c r="H13" s="144" t="s">
        <v>182</v>
      </c>
      <c r="I13" s="144">
        <f>IF('Investissement locatif'!F6="Parent isolé (T)", 1,0)</f>
        <v>0</v>
      </c>
    </row>
    <row r="14" spans="1:23" x14ac:dyDescent="0.25">
      <c r="H14" s="144" t="s">
        <v>183</v>
      </c>
      <c r="I14" s="144">
        <f>IF('Investissement locatif'!F6="Enfant élevé seul (L)", 1, 0)</f>
        <v>0</v>
      </c>
    </row>
    <row r="15" spans="1:23" x14ac:dyDescent="0.25">
      <c r="H15" s="144" t="s">
        <v>184</v>
      </c>
      <c r="I15" s="144">
        <f>IF('Investissement locatif'!F6="Invalidité", 1,0)</f>
        <v>0</v>
      </c>
    </row>
    <row r="16" spans="1:23" x14ac:dyDescent="0.25">
      <c r="H16" s="144" t="s">
        <v>15</v>
      </c>
      <c r="I16" s="144">
        <f>IF('Investissement locatif'!F6="", (J4-1)*2, (J4-1)*2-1)</f>
        <v>2</v>
      </c>
      <c r="J16" s="144">
        <f>I16</f>
        <v>2</v>
      </c>
      <c r="K16" s="144">
        <f t="shared" ref="K16:W16" si="2">J16</f>
        <v>2</v>
      </c>
      <c r="L16" s="144">
        <f t="shared" si="2"/>
        <v>2</v>
      </c>
      <c r="M16" s="144">
        <f t="shared" si="2"/>
        <v>2</v>
      </c>
      <c r="N16" s="144">
        <f t="shared" si="2"/>
        <v>2</v>
      </c>
      <c r="O16" s="144">
        <f t="shared" si="2"/>
        <v>2</v>
      </c>
      <c r="P16" s="144">
        <f t="shared" si="2"/>
        <v>2</v>
      </c>
      <c r="Q16" s="144">
        <f t="shared" si="2"/>
        <v>2</v>
      </c>
      <c r="R16" s="144">
        <f t="shared" si="2"/>
        <v>2</v>
      </c>
      <c r="S16" s="144">
        <f t="shared" si="2"/>
        <v>2</v>
      </c>
      <c r="T16" s="144">
        <f t="shared" si="2"/>
        <v>2</v>
      </c>
      <c r="U16" s="144">
        <f t="shared" si="2"/>
        <v>2</v>
      </c>
      <c r="V16" s="144">
        <f t="shared" si="2"/>
        <v>2</v>
      </c>
      <c r="W16" s="144">
        <f t="shared" si="2"/>
        <v>2</v>
      </c>
    </row>
    <row r="17" spans="1:23" x14ac:dyDescent="0.25">
      <c r="A17" s="144">
        <v>1759</v>
      </c>
      <c r="B17" s="144" t="s">
        <v>1</v>
      </c>
      <c r="H17" s="144" t="s">
        <v>10</v>
      </c>
      <c r="I17" s="144">
        <f>I10-$A$17*$I$16-$I$13*$A$19-$I$14*$A$18-$I$15*$A$20</f>
        <v>568.23</v>
      </c>
      <c r="J17" s="144">
        <f>J10-$A$17*$I$16-$I$13*$A$19-$I$14*$A$18-$I$15*$A$20</f>
        <v>568.23</v>
      </c>
      <c r="K17" s="144">
        <f>K10-$A$17*$I$16-$I$13*$A$19-$I$14*$A$18-$I$15*$A$20</f>
        <v>568.23</v>
      </c>
      <c r="L17" s="144">
        <f>L10-$A$17*$I$16-$I$13*$A$19-$I$14*$A$18-$I$15*$A$20</f>
        <v>568.23</v>
      </c>
      <c r="M17" s="144">
        <f t="shared" ref="M17:W17" si="3">M10-$A$17*$I$16-$I$13*$A$19-$I$14*$A$18-$I$15*$A$20</f>
        <v>568.23</v>
      </c>
      <c r="N17" s="144">
        <f t="shared" si="3"/>
        <v>568.23</v>
      </c>
      <c r="O17" s="144">
        <f>O10-$A$17*$I$16-$I$13*$A$19-$I$14*$A$18-$I$15*$A$20</f>
        <v>568.23</v>
      </c>
      <c r="P17" s="144">
        <f t="shared" si="3"/>
        <v>568.23</v>
      </c>
      <c r="Q17" s="144">
        <f t="shared" si="3"/>
        <v>568.23</v>
      </c>
      <c r="R17" s="144">
        <f t="shared" si="3"/>
        <v>568.23</v>
      </c>
      <c r="S17" s="144">
        <f t="shared" si="3"/>
        <v>568.23</v>
      </c>
      <c r="T17" s="144">
        <f t="shared" si="3"/>
        <v>568.23</v>
      </c>
      <c r="U17" s="144">
        <f t="shared" si="3"/>
        <v>568.23</v>
      </c>
      <c r="V17" s="144">
        <f>V10-$A$17*$I$16-$I$13*$A$19-$I$14*$A$18-$I$15*$A$20</f>
        <v>568.23</v>
      </c>
      <c r="W17" s="144">
        <f t="shared" si="3"/>
        <v>568.23</v>
      </c>
    </row>
    <row r="18" spans="1:23" x14ac:dyDescent="0.25">
      <c r="A18" s="144">
        <v>1050</v>
      </c>
      <c r="B18" s="144" t="s">
        <v>2</v>
      </c>
    </row>
    <row r="19" spans="1:23" x14ac:dyDescent="0.25">
      <c r="A19" s="144">
        <v>2390</v>
      </c>
      <c r="B19" s="144" t="s">
        <v>3</v>
      </c>
    </row>
    <row r="20" spans="1:23" x14ac:dyDescent="0.25">
      <c r="A20" s="144">
        <v>3512</v>
      </c>
      <c r="B20" s="144" t="s">
        <v>4</v>
      </c>
      <c r="H20" s="144" t="s">
        <v>11</v>
      </c>
      <c r="I20" s="144">
        <f>IF(I11&gt;I17, I11, I17)</f>
        <v>1475.32</v>
      </c>
      <c r="J20" s="144">
        <f>IF(J11&gt;J17, J11, J17)</f>
        <v>1475.32</v>
      </c>
      <c r="K20" s="144">
        <f t="shared" ref="K20:W20" si="4">IF(K11&gt;K17, K11, K17)</f>
        <v>1475.32</v>
      </c>
      <c r="L20" s="144">
        <f t="shared" si="4"/>
        <v>1475.32</v>
      </c>
      <c r="M20" s="144">
        <f t="shared" si="4"/>
        <v>1475.32</v>
      </c>
      <c r="N20" s="144">
        <f t="shared" si="4"/>
        <v>1475.32</v>
      </c>
      <c r="O20" s="144">
        <f t="shared" si="4"/>
        <v>1475.32</v>
      </c>
      <c r="P20" s="144">
        <f t="shared" si="4"/>
        <v>1475.32</v>
      </c>
      <c r="Q20" s="144">
        <f t="shared" si="4"/>
        <v>1475.32</v>
      </c>
      <c r="R20" s="144">
        <f t="shared" si="4"/>
        <v>1475.32</v>
      </c>
      <c r="S20" s="144">
        <f t="shared" si="4"/>
        <v>1475.32</v>
      </c>
      <c r="T20" s="144">
        <f t="shared" si="4"/>
        <v>1475.32</v>
      </c>
      <c r="U20" s="144">
        <f t="shared" si="4"/>
        <v>1475.32</v>
      </c>
      <c r="V20" s="144">
        <f t="shared" si="4"/>
        <v>1475.32</v>
      </c>
      <c r="W20" s="144">
        <f t="shared" si="4"/>
        <v>1475.32</v>
      </c>
    </row>
    <row r="21" spans="1:23" x14ac:dyDescent="0.25">
      <c r="A21" s="144">
        <v>5475</v>
      </c>
      <c r="B21" s="144" t="s">
        <v>5</v>
      </c>
      <c r="H21" s="144" t="s">
        <v>17</v>
      </c>
      <c r="I21" s="144">
        <f>IF(I20&lt;=1930, (873-I20*0.4525), 0)</f>
        <v>205.41769999999997</v>
      </c>
      <c r="J21" s="144">
        <f t="shared" ref="J21:W21" si="5">IF(J20&lt;=1930, (873-J20*0.4525), 0)</f>
        <v>205.41769999999997</v>
      </c>
      <c r="K21" s="144">
        <f t="shared" si="5"/>
        <v>205.41769999999997</v>
      </c>
      <c r="L21" s="144">
        <f t="shared" si="5"/>
        <v>205.41769999999997</v>
      </c>
      <c r="M21" s="144">
        <f t="shared" si="5"/>
        <v>205.41769999999997</v>
      </c>
      <c r="N21" s="144">
        <f t="shared" si="5"/>
        <v>205.41769999999997</v>
      </c>
      <c r="O21" s="144">
        <f t="shared" si="5"/>
        <v>205.41769999999997</v>
      </c>
      <c r="P21" s="144">
        <f t="shared" si="5"/>
        <v>205.41769999999997</v>
      </c>
      <c r="Q21" s="144">
        <f t="shared" si="5"/>
        <v>205.41769999999997</v>
      </c>
      <c r="R21" s="144">
        <f t="shared" si="5"/>
        <v>205.41769999999997</v>
      </c>
      <c r="S21" s="144">
        <f t="shared" si="5"/>
        <v>205.41769999999997</v>
      </c>
      <c r="T21" s="144">
        <f t="shared" si="5"/>
        <v>205.41769999999997</v>
      </c>
      <c r="U21" s="144">
        <f t="shared" si="5"/>
        <v>205.41769999999997</v>
      </c>
      <c r="V21" s="144">
        <f t="shared" si="5"/>
        <v>205.41769999999997</v>
      </c>
      <c r="W21" s="144">
        <f t="shared" si="5"/>
        <v>205.41769999999997</v>
      </c>
    </row>
    <row r="22" spans="1:23" x14ac:dyDescent="0.25">
      <c r="H22" s="144" t="s">
        <v>18</v>
      </c>
      <c r="I22" s="144">
        <f>IF(I21&gt;I20, 0, I20-I21)</f>
        <v>1269.9023</v>
      </c>
      <c r="J22" s="144">
        <f t="shared" ref="J22:W22" si="6">IF(J21&gt;J20, 0, J20-J21)</f>
        <v>1269.9023</v>
      </c>
      <c r="K22" s="144">
        <f t="shared" si="6"/>
        <v>1269.9023</v>
      </c>
      <c r="L22" s="144">
        <f t="shared" si="6"/>
        <v>1269.9023</v>
      </c>
      <c r="M22" s="144">
        <f t="shared" si="6"/>
        <v>1269.9023</v>
      </c>
      <c r="N22" s="144">
        <f t="shared" si="6"/>
        <v>1269.9023</v>
      </c>
      <c r="O22" s="144">
        <f t="shared" si="6"/>
        <v>1269.9023</v>
      </c>
      <c r="P22" s="144">
        <f t="shared" si="6"/>
        <v>1269.9023</v>
      </c>
      <c r="Q22" s="144">
        <f t="shared" si="6"/>
        <v>1269.9023</v>
      </c>
      <c r="R22" s="144">
        <f t="shared" si="6"/>
        <v>1269.9023</v>
      </c>
      <c r="S22" s="144">
        <f t="shared" si="6"/>
        <v>1269.9023</v>
      </c>
      <c r="T22" s="144">
        <f t="shared" si="6"/>
        <v>1269.9023</v>
      </c>
      <c r="U22" s="144">
        <f t="shared" si="6"/>
        <v>1269.9023</v>
      </c>
      <c r="V22" s="144">
        <f t="shared" si="6"/>
        <v>1269.9023</v>
      </c>
      <c r="W22" s="144">
        <f t="shared" si="6"/>
        <v>1269.9023</v>
      </c>
    </row>
    <row r="23" spans="1:23" x14ac:dyDescent="0.25">
      <c r="B23" s="326" t="s">
        <v>185</v>
      </c>
      <c r="C23" s="326"/>
      <c r="D23" s="326"/>
      <c r="E23" s="326"/>
      <c r="F23" s="326"/>
    </row>
    <row r="25" spans="1:23" x14ac:dyDescent="0.25">
      <c r="B25" s="144">
        <v>0</v>
      </c>
      <c r="C25" s="144">
        <f>C5*$J$4</f>
        <v>22588</v>
      </c>
      <c r="D25" s="146">
        <f>0</f>
        <v>0</v>
      </c>
      <c r="E25" s="144">
        <f>0</f>
        <v>0</v>
      </c>
    </row>
    <row r="26" spans="1:23" x14ac:dyDescent="0.25">
      <c r="B26" s="144">
        <f>B6*$J$4</f>
        <v>22588</v>
      </c>
      <c r="C26" s="144">
        <f>C6*$J$4</f>
        <v>57594</v>
      </c>
      <c r="D26" s="146">
        <v>0.11</v>
      </c>
      <c r="E26" s="145">
        <f>(C26-B26)*D26</f>
        <v>3850.66</v>
      </c>
    </row>
    <row r="27" spans="1:23" x14ac:dyDescent="0.25">
      <c r="B27" s="144">
        <f>B7*$J$4</f>
        <v>57594</v>
      </c>
      <c r="C27" s="144">
        <f>C7*$J$4</f>
        <v>164682</v>
      </c>
      <c r="D27" s="146">
        <f>0.3</f>
        <v>0.3</v>
      </c>
      <c r="E27" s="144">
        <f>(C27-B27)*0.3</f>
        <v>32126.399999999998</v>
      </c>
      <c r="F27" s="145">
        <f>E27+E26</f>
        <v>35977.06</v>
      </c>
    </row>
    <row r="28" spans="1:23" x14ac:dyDescent="0.25">
      <c r="B28" s="144">
        <f>B8*$J$4</f>
        <v>164682</v>
      </c>
      <c r="C28" s="144">
        <f>C8*$J$4</f>
        <v>354212</v>
      </c>
      <c r="D28" s="146">
        <v>0.41</v>
      </c>
      <c r="E28" s="144">
        <f>(C28-B28)*D28</f>
        <v>77707.299999999988</v>
      </c>
      <c r="F28" s="145">
        <f>SUM(E26:E28)</f>
        <v>113684.35999999999</v>
      </c>
    </row>
    <row r="29" spans="1:23" x14ac:dyDescent="0.25">
      <c r="D29" s="146">
        <f>0.45</f>
        <v>0.45</v>
      </c>
    </row>
    <row r="31" spans="1:23" x14ac:dyDescent="0.25">
      <c r="A31" s="327" t="s">
        <v>13</v>
      </c>
      <c r="B31" s="327"/>
      <c r="C31" s="327"/>
      <c r="D31" s="327"/>
      <c r="E31" s="327"/>
      <c r="F31" s="327"/>
      <c r="G31" s="327"/>
      <c r="H31" s="327"/>
      <c r="I31" s="327"/>
      <c r="J31" s="327"/>
    </row>
    <row r="32" spans="1:23" x14ac:dyDescent="0.25">
      <c r="A32" s="207"/>
      <c r="B32" s="207"/>
      <c r="C32" s="207"/>
      <c r="D32" s="207"/>
      <c r="E32" s="207"/>
      <c r="F32" s="207"/>
      <c r="G32" s="207"/>
      <c r="H32" s="207"/>
      <c r="I32" s="207"/>
      <c r="J32" s="207"/>
    </row>
    <row r="33" spans="2:23" x14ac:dyDescent="0.25">
      <c r="B33" s="144">
        <f>B25*2</f>
        <v>0</v>
      </c>
      <c r="C33" s="144">
        <f>C5*2</f>
        <v>22588</v>
      </c>
      <c r="D33" s="146">
        <v>0</v>
      </c>
      <c r="E33" s="144">
        <v>0</v>
      </c>
      <c r="H33" s="144" t="s">
        <v>14</v>
      </c>
      <c r="I33" s="144">
        <f>IF(I3&gt;=$C$37, (I3-$C$37)*$D$38+$E$37+$E$36+$E$34, IF(I3&gt;=$C$36, (I3-$C$36)*$D$37+$E$36+$E$34, IF(I3&gt;=$C$34, (I3-$C$34)*$D$36+$E$34, IF(I3&gt;=$C$33, (I3-$C$33)*$D$34, 0))))</f>
        <v>1475.32</v>
      </c>
      <c r="J33" s="144">
        <f t="shared" ref="J33:W33" si="7">IF(J3&gt;=$C$37, (J3-$C$37)*$D$38+$E$37+$E$36+$E$34, IF(J3&gt;=$C$36, (J3-$C$36)*$D$37+$E$36+$E$34, IF(J3&gt;=$C$34, (J3-$C$34)*$D$36+$E$34, IF(J3&gt;=$C$33, (J3-$C$33)*$D$34, 0))))</f>
        <v>1475.32</v>
      </c>
      <c r="K33" s="144">
        <f t="shared" si="7"/>
        <v>1475.32</v>
      </c>
      <c r="L33" s="144">
        <f t="shared" si="7"/>
        <v>1475.32</v>
      </c>
      <c r="M33" s="144">
        <f t="shared" si="7"/>
        <v>1475.32</v>
      </c>
      <c r="N33" s="144">
        <f>IF(N3&gt;=$C$37, (N3-$C$37)*$D$38+$E$37+$E$36+$E$34, IF(N3&gt;=$C$36, (N3-$C$36)*$D$37+$E$36+$E$34, IF(N3&gt;=$C$34, (N3-$C$34)*$D$36+$E$34, IF(N3&gt;=$C$33, (N3-$C$33)*$D$34, 0))))</f>
        <v>1475.32</v>
      </c>
      <c r="O33" s="144">
        <f t="shared" si="7"/>
        <v>1475.32</v>
      </c>
      <c r="P33" s="144">
        <f t="shared" si="7"/>
        <v>1475.32</v>
      </c>
      <c r="Q33" s="144">
        <f t="shared" si="7"/>
        <v>1475.32</v>
      </c>
      <c r="R33" s="144">
        <f t="shared" si="7"/>
        <v>1475.32</v>
      </c>
      <c r="S33" s="144">
        <f t="shared" si="7"/>
        <v>1475.32</v>
      </c>
      <c r="T33" s="144">
        <f t="shared" si="7"/>
        <v>1475.32</v>
      </c>
      <c r="U33" s="144">
        <f t="shared" si="7"/>
        <v>1475.32</v>
      </c>
      <c r="V33" s="144">
        <f t="shared" si="7"/>
        <v>1475.32</v>
      </c>
      <c r="W33" s="144">
        <f t="shared" si="7"/>
        <v>1475.32</v>
      </c>
    </row>
    <row r="34" spans="2:23" x14ac:dyDescent="0.25">
      <c r="B34" s="144">
        <f>C33</f>
        <v>22588</v>
      </c>
      <c r="C34" s="144">
        <f>C6*2</f>
        <v>57594</v>
      </c>
      <c r="D34" s="146">
        <v>0.11</v>
      </c>
      <c r="E34" s="144">
        <f>(C34-B34)*D34</f>
        <v>3850.66</v>
      </c>
      <c r="H34" s="144" t="s">
        <v>8</v>
      </c>
      <c r="I34" s="144">
        <f>IF(I3&gt;=$C$28, (I3-$C$28)*$D$29+$E$28+$E$27+$E$26, IF(I3&gt;=$C$27, (I3-$C$27)*$D$28+$E$27+$E$26, IF(I3&gt;=$C$26, (I3-$C$26)*$D$27+$E$26, IF(I3&gt;=$C$25, (I3-$C$25)*$D$26, 0))))</f>
        <v>1475.32</v>
      </c>
      <c r="J34" s="144">
        <f t="shared" ref="J34:W34" si="8">IF(J3&gt;=$C$28, (J3-$C$28)*$D$29+$E$28+$E$27+$E$26, IF(J3&gt;=$C$27, (J3-$C$27)*$D$28+$E$27+$E$26, IF(J3&gt;=$C$26, (J3-$C$26)*$D$27+$E$26, IF(J3&gt;=$C$25, (J3-$C$25)*$D$26, 0))))</f>
        <v>1475.32</v>
      </c>
      <c r="K34" s="144">
        <f t="shared" si="8"/>
        <v>1475.32</v>
      </c>
      <c r="L34" s="144">
        <f t="shared" si="8"/>
        <v>1475.32</v>
      </c>
      <c r="M34" s="144">
        <f t="shared" si="8"/>
        <v>1475.32</v>
      </c>
      <c r="N34" s="144">
        <f t="shared" si="8"/>
        <v>1475.32</v>
      </c>
      <c r="O34" s="144">
        <f>IF(O3&gt;=$C$28, (O3-$C$28)*$D$29+$E$28+$E$27+$E$26, IF(O3&gt;=$C$27, (O3-$C$27)*$D$28+$E$27+$E$26, IF(O3&gt;=$C$26, (O3-$C$26)*$D$27+$E$26, IF(O3&gt;=$C$25, (O3-$C$25)*$D$26, 0))))</f>
        <v>1475.32</v>
      </c>
      <c r="P34" s="144">
        <f t="shared" si="8"/>
        <v>1475.32</v>
      </c>
      <c r="Q34" s="144">
        <f t="shared" si="8"/>
        <v>1475.32</v>
      </c>
      <c r="R34" s="144">
        <f t="shared" si="8"/>
        <v>1475.32</v>
      </c>
      <c r="S34" s="144">
        <f t="shared" si="8"/>
        <v>1475.32</v>
      </c>
      <c r="T34" s="144">
        <f t="shared" si="8"/>
        <v>1475.32</v>
      </c>
      <c r="U34" s="144">
        <f t="shared" si="8"/>
        <v>1475.32</v>
      </c>
      <c r="V34" s="144">
        <f t="shared" si="8"/>
        <v>1475.32</v>
      </c>
      <c r="W34" s="144">
        <f t="shared" si="8"/>
        <v>1475.32</v>
      </c>
    </row>
    <row r="35" spans="2:23" x14ac:dyDescent="0.25">
      <c r="D35" s="146"/>
      <c r="H35" s="144" t="s">
        <v>184</v>
      </c>
      <c r="I35" s="144">
        <f>IF('Investissement locatif'!F6="Invalidité",1,0)</f>
        <v>0</v>
      </c>
    </row>
    <row r="36" spans="2:23" x14ac:dyDescent="0.25">
      <c r="B36" s="144">
        <f>C34</f>
        <v>57594</v>
      </c>
      <c r="C36" s="144">
        <f>C7*2</f>
        <v>164682</v>
      </c>
      <c r="D36" s="146">
        <v>0.3</v>
      </c>
      <c r="E36" s="144">
        <f>(C36-B36)*D36</f>
        <v>32126.399999999998</v>
      </c>
      <c r="F36" s="144">
        <f>E36+E34</f>
        <v>35977.06</v>
      </c>
      <c r="H36" s="144" t="s">
        <v>16</v>
      </c>
      <c r="I36" s="144">
        <f>IF('Investissement locatif'!F6="", (J4-2)*2, (J4-2)*2-1)</f>
        <v>0</v>
      </c>
      <c r="J36" s="144">
        <f t="shared" ref="J36:W36" si="9">($J$4-2)*2</f>
        <v>0</v>
      </c>
      <c r="K36" s="144">
        <f t="shared" si="9"/>
        <v>0</v>
      </c>
      <c r="L36" s="144">
        <f t="shared" si="9"/>
        <v>0</v>
      </c>
      <c r="M36" s="144">
        <f t="shared" si="9"/>
        <v>0</v>
      </c>
      <c r="N36" s="144">
        <f t="shared" si="9"/>
        <v>0</v>
      </c>
      <c r="O36" s="144">
        <f t="shared" si="9"/>
        <v>0</v>
      </c>
      <c r="P36" s="144">
        <f t="shared" si="9"/>
        <v>0</v>
      </c>
      <c r="Q36" s="144">
        <f t="shared" si="9"/>
        <v>0</v>
      </c>
      <c r="R36" s="144">
        <f t="shared" si="9"/>
        <v>0</v>
      </c>
      <c r="S36" s="144">
        <f t="shared" si="9"/>
        <v>0</v>
      </c>
      <c r="T36" s="144">
        <f t="shared" si="9"/>
        <v>0</v>
      </c>
      <c r="U36" s="144">
        <f t="shared" si="9"/>
        <v>0</v>
      </c>
      <c r="V36" s="144">
        <f t="shared" si="9"/>
        <v>0</v>
      </c>
      <c r="W36" s="144">
        <f t="shared" si="9"/>
        <v>0</v>
      </c>
    </row>
    <row r="37" spans="2:23" x14ac:dyDescent="0.25">
      <c r="B37" s="144">
        <f>C36</f>
        <v>164682</v>
      </c>
      <c r="C37" s="144">
        <f>C8*2</f>
        <v>354212</v>
      </c>
      <c r="D37" s="146">
        <v>0.41</v>
      </c>
      <c r="E37" s="144">
        <f>(C37-B37)*D37</f>
        <v>77707.299999999988</v>
      </c>
      <c r="F37" s="144">
        <f>E37+E36+E34</f>
        <v>113684.35999999999</v>
      </c>
      <c r="H37" s="144" t="s">
        <v>10</v>
      </c>
      <c r="I37" s="144">
        <f>I33-$A$17*$I$36-$I$35*$A$20</f>
        <v>1475.32</v>
      </c>
      <c r="J37" s="144">
        <f t="shared" ref="J37:V37" si="10">J33-$A$17*$I$36-$I$35*$A$20</f>
        <v>1475.32</v>
      </c>
      <c r="K37" s="144">
        <f t="shared" si="10"/>
        <v>1475.32</v>
      </c>
      <c r="L37" s="144">
        <f t="shared" si="10"/>
        <v>1475.32</v>
      </c>
      <c r="M37" s="144">
        <f t="shared" si="10"/>
        <v>1475.32</v>
      </c>
      <c r="N37" s="144">
        <f t="shared" si="10"/>
        <v>1475.32</v>
      </c>
      <c r="O37" s="144">
        <f t="shared" si="10"/>
        <v>1475.32</v>
      </c>
      <c r="P37" s="144">
        <f t="shared" si="10"/>
        <v>1475.32</v>
      </c>
      <c r="Q37" s="144">
        <f t="shared" si="10"/>
        <v>1475.32</v>
      </c>
      <c r="R37" s="144">
        <f t="shared" si="10"/>
        <v>1475.32</v>
      </c>
      <c r="S37" s="144">
        <f t="shared" si="10"/>
        <v>1475.32</v>
      </c>
      <c r="T37" s="144">
        <f t="shared" si="10"/>
        <v>1475.32</v>
      </c>
      <c r="U37" s="144">
        <f t="shared" si="10"/>
        <v>1475.32</v>
      </c>
      <c r="V37" s="144">
        <f t="shared" si="10"/>
        <v>1475.32</v>
      </c>
      <c r="W37" s="144">
        <f>W33-$A$17*$I$36-$I$35*$A$20</f>
        <v>1475.32</v>
      </c>
    </row>
    <row r="38" spans="2:23" x14ac:dyDescent="0.25">
      <c r="D38" s="146">
        <v>0.45</v>
      </c>
    </row>
    <row r="39" spans="2:23" x14ac:dyDescent="0.25">
      <c r="H39" s="144" t="s">
        <v>11</v>
      </c>
      <c r="I39" s="144">
        <f>IF(I34&gt;I37, I34, I37)</f>
        <v>1475.32</v>
      </c>
      <c r="J39" s="144">
        <f>IF(J34&gt;J37, J34, J37)</f>
        <v>1475.32</v>
      </c>
      <c r="K39" s="144">
        <f t="shared" ref="K39:W39" si="11">IF(K34&gt;K37, K34, K37)</f>
        <v>1475.32</v>
      </c>
      <c r="L39" s="144">
        <f t="shared" si="11"/>
        <v>1475.32</v>
      </c>
      <c r="M39" s="144">
        <f>IF(M34&gt;M37, M34, M37)</f>
        <v>1475.32</v>
      </c>
      <c r="N39" s="144">
        <f t="shared" si="11"/>
        <v>1475.32</v>
      </c>
      <c r="O39" s="144">
        <f t="shared" si="11"/>
        <v>1475.32</v>
      </c>
      <c r="P39" s="144">
        <f t="shared" si="11"/>
        <v>1475.32</v>
      </c>
      <c r="Q39" s="144">
        <f t="shared" si="11"/>
        <v>1475.32</v>
      </c>
      <c r="R39" s="144">
        <f t="shared" si="11"/>
        <v>1475.32</v>
      </c>
      <c r="S39" s="144">
        <f t="shared" si="11"/>
        <v>1475.32</v>
      </c>
      <c r="T39" s="144">
        <f t="shared" si="11"/>
        <v>1475.32</v>
      </c>
      <c r="U39" s="144">
        <f t="shared" si="11"/>
        <v>1475.32</v>
      </c>
      <c r="V39" s="144">
        <f t="shared" si="11"/>
        <v>1475.32</v>
      </c>
      <c r="W39" s="144">
        <f t="shared" si="11"/>
        <v>1475.32</v>
      </c>
    </row>
    <row r="40" spans="2:23" x14ac:dyDescent="0.25">
      <c r="H40" s="144" t="s">
        <v>17</v>
      </c>
      <c r="I40" s="144">
        <f>IF(I39&lt;=3192, 1444-I39*0.4525, 0)</f>
        <v>776.41769999999997</v>
      </c>
      <c r="J40" s="144">
        <f t="shared" ref="J40:W40" si="12">IF(J39&lt;=3192, 1444-J39*0.4525, 0)</f>
        <v>776.41769999999997</v>
      </c>
      <c r="K40" s="144">
        <f t="shared" si="12"/>
        <v>776.41769999999997</v>
      </c>
      <c r="L40" s="144">
        <f t="shared" si="12"/>
        <v>776.41769999999997</v>
      </c>
      <c r="M40" s="144">
        <f t="shared" si="12"/>
        <v>776.41769999999997</v>
      </c>
      <c r="N40" s="144">
        <f t="shared" si="12"/>
        <v>776.41769999999997</v>
      </c>
      <c r="O40" s="144">
        <f t="shared" si="12"/>
        <v>776.41769999999997</v>
      </c>
      <c r="P40" s="144">
        <f t="shared" si="12"/>
        <v>776.41769999999997</v>
      </c>
      <c r="Q40" s="144">
        <f t="shared" si="12"/>
        <v>776.41769999999997</v>
      </c>
      <c r="R40" s="144">
        <f t="shared" si="12"/>
        <v>776.41769999999997</v>
      </c>
      <c r="S40" s="144">
        <f t="shared" si="12"/>
        <v>776.41769999999997</v>
      </c>
      <c r="T40" s="144">
        <f t="shared" si="12"/>
        <v>776.41769999999997</v>
      </c>
      <c r="U40" s="144">
        <f t="shared" si="12"/>
        <v>776.41769999999997</v>
      </c>
      <c r="V40" s="144">
        <f t="shared" si="12"/>
        <v>776.41769999999997</v>
      </c>
      <c r="W40" s="144">
        <f t="shared" si="12"/>
        <v>776.41769999999997</v>
      </c>
    </row>
    <row r="41" spans="2:23" x14ac:dyDescent="0.25">
      <c r="H41" s="144" t="s">
        <v>18</v>
      </c>
      <c r="I41" s="144">
        <f>IF(I40&gt;I39, 0, I39-I40)</f>
        <v>698.90229999999997</v>
      </c>
      <c r="J41" s="144">
        <f t="shared" ref="J41:W41" si="13">IF(J40&gt;J39, 0, J39-J40)</f>
        <v>698.90229999999997</v>
      </c>
      <c r="K41" s="144">
        <f>IF(K40&gt;K39, 0, K39-K40)</f>
        <v>698.90229999999997</v>
      </c>
      <c r="L41" s="144">
        <f t="shared" si="13"/>
        <v>698.90229999999997</v>
      </c>
      <c r="M41" s="144">
        <f t="shared" si="13"/>
        <v>698.90229999999997</v>
      </c>
      <c r="N41" s="144">
        <f t="shared" si="13"/>
        <v>698.90229999999997</v>
      </c>
      <c r="O41" s="144">
        <f t="shared" si="13"/>
        <v>698.90229999999997</v>
      </c>
      <c r="P41" s="144">
        <f>IF(P40&gt;P39, 0, P39-P40)</f>
        <v>698.90229999999997</v>
      </c>
      <c r="Q41" s="144">
        <f t="shared" si="13"/>
        <v>698.90229999999997</v>
      </c>
      <c r="R41" s="144">
        <f t="shared" si="13"/>
        <v>698.90229999999997</v>
      </c>
      <c r="S41" s="144">
        <f t="shared" si="13"/>
        <v>698.90229999999997</v>
      </c>
      <c r="T41" s="144">
        <f t="shared" si="13"/>
        <v>698.90229999999997</v>
      </c>
      <c r="U41" s="144">
        <f t="shared" si="13"/>
        <v>698.90229999999997</v>
      </c>
      <c r="V41" s="144">
        <f t="shared" si="13"/>
        <v>698.90229999999997</v>
      </c>
      <c r="W41" s="144">
        <f t="shared" si="13"/>
        <v>698.90229999999997</v>
      </c>
    </row>
    <row r="43" spans="2:23" x14ac:dyDescent="0.25">
      <c r="H43" s="144">
        <f>IF('Investissement locatif'!C5="Célibataire-Divorcé-Veuf", VLOOKUP('Investissement locatif'!F5, 'www.corrigetonimpot (2)'!C48:D52, 2, FALSE), VLOOKUP('Investissement locatif'!F5, 'www.corrigetonimpot (2)'!C54:D58, 2, FALSE))</f>
        <v>2</v>
      </c>
    </row>
    <row r="48" spans="2:23" x14ac:dyDescent="0.25">
      <c r="B48" s="144" t="s">
        <v>175</v>
      </c>
      <c r="C48" s="144">
        <v>0</v>
      </c>
      <c r="D48" s="144">
        <v>1</v>
      </c>
      <c r="I48" s="144" t="s">
        <v>134</v>
      </c>
      <c r="K48" s="144">
        <v>0</v>
      </c>
      <c r="M48" s="144" t="s">
        <v>178</v>
      </c>
    </row>
    <row r="49" spans="2:13" x14ac:dyDescent="0.25">
      <c r="C49" s="144">
        <v>1</v>
      </c>
      <c r="D49" s="144">
        <v>1.5</v>
      </c>
      <c r="I49" s="144" t="s">
        <v>135</v>
      </c>
      <c r="K49" s="144">
        <v>1</v>
      </c>
      <c r="M49" s="144" t="s">
        <v>176</v>
      </c>
    </row>
    <row r="50" spans="2:13" x14ac:dyDescent="0.25">
      <c r="C50" s="144">
        <v>2</v>
      </c>
      <c r="D50" s="144">
        <v>2</v>
      </c>
      <c r="I50" s="144" t="s">
        <v>136</v>
      </c>
      <c r="K50" s="144">
        <v>2</v>
      </c>
      <c r="M50" s="144" t="s">
        <v>177</v>
      </c>
    </row>
    <row r="51" spans="2:13" x14ac:dyDescent="0.25">
      <c r="C51" s="144">
        <v>3</v>
      </c>
      <c r="D51" s="144">
        <v>3</v>
      </c>
      <c r="I51" s="144" t="s">
        <v>137</v>
      </c>
      <c r="K51" s="144">
        <v>3</v>
      </c>
    </row>
    <row r="52" spans="2:13" x14ac:dyDescent="0.25">
      <c r="C52" s="144">
        <v>4</v>
      </c>
      <c r="D52" s="144">
        <v>4</v>
      </c>
      <c r="K52" s="144">
        <v>4</v>
      </c>
    </row>
    <row r="54" spans="2:13" x14ac:dyDescent="0.25">
      <c r="B54" s="144" t="s">
        <v>181</v>
      </c>
      <c r="C54" s="144">
        <v>0</v>
      </c>
      <c r="D54" s="144">
        <v>2</v>
      </c>
    </row>
    <row r="55" spans="2:13" x14ac:dyDescent="0.25">
      <c r="C55" s="144">
        <v>1</v>
      </c>
      <c r="D55" s="144">
        <v>2.5</v>
      </c>
    </row>
    <row r="56" spans="2:13" x14ac:dyDescent="0.25">
      <c r="C56" s="144">
        <v>2</v>
      </c>
      <c r="D56" s="144">
        <v>3</v>
      </c>
    </row>
    <row r="57" spans="2:13" x14ac:dyDescent="0.25">
      <c r="C57" s="144">
        <v>3</v>
      </c>
      <c r="D57" s="144">
        <v>4</v>
      </c>
      <c r="H57" s="203"/>
    </row>
    <row r="58" spans="2:13" x14ac:dyDescent="0.25">
      <c r="C58" s="144">
        <v>4</v>
      </c>
      <c r="D58" s="144">
        <v>5</v>
      </c>
    </row>
  </sheetData>
  <sheetProtection password="EC72" sheet="1" selectLockedCells="1"/>
  <mergeCells count="4">
    <mergeCell ref="A1:J1"/>
    <mergeCell ref="B3:F3"/>
    <mergeCell ref="B23:F23"/>
    <mergeCell ref="A31:J31"/>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W47"/>
  <sheetViews>
    <sheetView topLeftCell="E1" workbookViewId="0">
      <selection activeCell="U7" sqref="U7"/>
    </sheetView>
  </sheetViews>
  <sheetFormatPr baseColWidth="10" defaultRowHeight="15" x14ac:dyDescent="0.25"/>
  <cols>
    <col min="1" max="8" width="11.42578125" style="144"/>
    <col min="9" max="9" width="35.85546875" style="144" customWidth="1"/>
    <col min="10" max="10" width="37.28515625" style="144" customWidth="1"/>
    <col min="11" max="16384" width="11.42578125" style="144"/>
  </cols>
  <sheetData>
    <row r="1" spans="1:23" x14ac:dyDescent="0.25">
      <c r="B1" s="144" t="s">
        <v>98</v>
      </c>
      <c r="E1" s="144" t="s">
        <v>97</v>
      </c>
      <c r="I1" s="147" t="s">
        <v>96</v>
      </c>
      <c r="J1" s="147" t="s">
        <v>95</v>
      </c>
      <c r="L1" s="144" t="s">
        <v>94</v>
      </c>
    </row>
    <row r="2" spans="1:23" x14ac:dyDescent="0.25">
      <c r="A2" s="144" t="s">
        <v>59</v>
      </c>
      <c r="B2" s="144" t="s">
        <v>93</v>
      </c>
      <c r="I2" s="148"/>
      <c r="J2" s="148"/>
      <c r="K2" s="144" t="s">
        <v>59</v>
      </c>
      <c r="L2" s="144" t="s">
        <v>93</v>
      </c>
      <c r="O2" s="149" t="s">
        <v>145</v>
      </c>
      <c r="P2" s="149" t="s">
        <v>146</v>
      </c>
      <c r="T2" s="144" t="s">
        <v>149</v>
      </c>
      <c r="U2" s="144" t="s">
        <v>150</v>
      </c>
    </row>
    <row r="3" spans="1:23" x14ac:dyDescent="0.25">
      <c r="A3" s="144">
        <v>0</v>
      </c>
      <c r="B3" s="144">
        <v>0</v>
      </c>
      <c r="I3" s="148" t="s">
        <v>92</v>
      </c>
      <c r="J3" s="148" t="s">
        <v>91</v>
      </c>
      <c r="K3" s="144">
        <v>0</v>
      </c>
      <c r="L3" s="144">
        <v>0</v>
      </c>
      <c r="O3" s="149">
        <f>0</f>
        <v>0</v>
      </c>
      <c r="P3" s="150">
        <f>'Prêt bien immobilier'!D11</f>
        <v>100000</v>
      </c>
      <c r="R3" s="144">
        <v>0</v>
      </c>
      <c r="S3" s="145">
        <f>T3+U3</f>
        <v>0</v>
      </c>
      <c r="T3" s="145">
        <f>'Investissement locatif'!J5-'Investissement locatif'!R5</f>
        <v>0</v>
      </c>
      <c r="U3" s="144">
        <f>IF('Investissement locatif'!$F$47=R3, 'Investissement locatif'!$F$48-'Investissement locatif'!$F$49-'Investissement locatif'!$F$50, 0)</f>
        <v>0</v>
      </c>
      <c r="V3" s="144">
        <f>R3</f>
        <v>0</v>
      </c>
      <c r="W3" s="151" t="e">
        <f>IRR($S$3:S3,0.1)</f>
        <v>#NUM!</v>
      </c>
    </row>
    <row r="4" spans="1:23" x14ac:dyDescent="0.25">
      <c r="A4" s="144">
        <v>1</v>
      </c>
      <c r="B4" s="144">
        <v>0</v>
      </c>
      <c r="E4" s="144">
        <f>0.02*'Plus-value immobilière'!C22-0.05*(60000-'Plus-value immobilière'!C22)</f>
        <v>4182</v>
      </c>
      <c r="I4" s="148" t="s">
        <v>90</v>
      </c>
      <c r="J4" s="148" t="s">
        <v>89</v>
      </c>
      <c r="K4" s="144">
        <v>1</v>
      </c>
      <c r="L4" s="144">
        <v>0</v>
      </c>
      <c r="O4" s="149">
        <f>O3+1</f>
        <v>1</v>
      </c>
      <c r="P4" s="150">
        <f>'Prêt bien immobilier'!D23</f>
        <v>93834.189999999988</v>
      </c>
      <c r="R4" s="144">
        <f>R3+1</f>
        <v>1</v>
      </c>
      <c r="S4" s="145">
        <f t="shared" ref="S4:S33" si="0">T4+U4</f>
        <v>-18064.8577</v>
      </c>
      <c r="T4" s="145">
        <f>'Investissement locatif'!D43</f>
        <v>-18064.8577</v>
      </c>
      <c r="U4" s="144">
        <f>IF('Investissement locatif'!$F$47=R4, 'Investissement locatif'!$F$48-'Investissement locatif'!$F$49-'Investissement locatif'!$F$50, 0)</f>
        <v>0</v>
      </c>
      <c r="V4" s="144">
        <f>R4</f>
        <v>1</v>
      </c>
      <c r="W4" s="151" t="e">
        <f>IRR($S$3:S4,0.1)</f>
        <v>#NUM!</v>
      </c>
    </row>
    <row r="5" spans="1:23" x14ac:dyDescent="0.25">
      <c r="A5" s="144">
        <v>2</v>
      </c>
      <c r="B5" s="144">
        <v>0</v>
      </c>
      <c r="E5" s="144">
        <f>0.02*'Plus-value immobilière'!C22</f>
        <v>2052</v>
      </c>
      <c r="I5" s="147" t="s">
        <v>88</v>
      </c>
      <c r="J5" s="147" t="s">
        <v>87</v>
      </c>
      <c r="K5" s="144">
        <v>2</v>
      </c>
      <c r="L5" s="144">
        <v>0</v>
      </c>
      <c r="O5" s="149">
        <f t="shared" ref="O5:O33" si="1">O4+1</f>
        <v>2</v>
      </c>
      <c r="P5" s="150">
        <f>'Prêt bien immobilier'!D35</f>
        <v>87600.2</v>
      </c>
      <c r="R5" s="144">
        <f t="shared" ref="R5:R33" si="2">R4+1</f>
        <v>2</v>
      </c>
      <c r="S5" s="145">
        <f t="shared" si="0"/>
        <v>-896.86586</v>
      </c>
      <c r="T5" s="145">
        <f>'Investissement locatif'!E43</f>
        <v>-896.86586</v>
      </c>
      <c r="U5" s="144">
        <f>IF('Investissement locatif'!$F$47=R5, 'Investissement locatif'!$F$48-'Investissement locatif'!$F$49-'Investissement locatif'!$F$50, 0)</f>
        <v>0</v>
      </c>
      <c r="V5" s="144">
        <f t="shared" ref="V5:V33" si="3">R5</f>
        <v>2</v>
      </c>
      <c r="W5" s="151" t="e">
        <f>IRR($S$3:S5,0.1)</f>
        <v>#NUM!</v>
      </c>
    </row>
    <row r="6" spans="1:23" x14ac:dyDescent="0.25">
      <c r="A6" s="144">
        <v>3</v>
      </c>
      <c r="B6" s="144">
        <v>0</v>
      </c>
      <c r="E6" s="144">
        <f>0.03*'Plus-value immobilière'!C22-0.1*(110000-'Plus-value immobilière'!C22)</f>
        <v>2338</v>
      </c>
      <c r="I6" s="148" t="s">
        <v>86</v>
      </c>
      <c r="J6" s="148" t="s">
        <v>85</v>
      </c>
      <c r="K6" s="144">
        <v>3</v>
      </c>
      <c r="L6" s="144">
        <v>0</v>
      </c>
      <c r="O6" s="149">
        <f t="shared" si="1"/>
        <v>3</v>
      </c>
      <c r="P6" s="150">
        <f>'Prêt bien immobilier'!D47</f>
        <v>81297.289999999994</v>
      </c>
      <c r="R6" s="144">
        <f t="shared" si="2"/>
        <v>3</v>
      </c>
      <c r="S6" s="145">
        <f t="shared" si="0"/>
        <v>479.34549999999922</v>
      </c>
      <c r="T6" s="145">
        <f>'Investissement locatif'!F43</f>
        <v>479.34549999999922</v>
      </c>
      <c r="U6" s="144">
        <f>IF('Investissement locatif'!$F$47=R6, 'Investissement locatif'!$F$48-'Investissement locatif'!$F$49-'Investissement locatif'!$F$50, 0)</f>
        <v>0</v>
      </c>
      <c r="V6" s="144">
        <f t="shared" si="3"/>
        <v>3</v>
      </c>
      <c r="W6" s="151">
        <f>IRR($S$3:S6,0.1)</f>
        <v>-0.86004819009539135</v>
      </c>
    </row>
    <row r="7" spans="1:23" x14ac:dyDescent="0.25">
      <c r="A7" s="144">
        <v>4</v>
      </c>
      <c r="B7" s="144">
        <v>0</v>
      </c>
      <c r="E7" s="144">
        <f>0.03*'Plus-value immobilière'!C22</f>
        <v>3078</v>
      </c>
      <c r="I7" s="147" t="s">
        <v>84</v>
      </c>
      <c r="J7" s="147" t="s">
        <v>83</v>
      </c>
      <c r="K7" s="144">
        <v>4</v>
      </c>
      <c r="L7" s="144">
        <v>0</v>
      </c>
      <c r="O7" s="149">
        <f t="shared" si="1"/>
        <v>4</v>
      </c>
      <c r="P7" s="150">
        <f>'Prêt bien immobilier'!D59</f>
        <v>74924.699999999983</v>
      </c>
      <c r="R7" s="144">
        <f t="shared" si="2"/>
        <v>4</v>
      </c>
      <c r="S7" s="145">
        <f t="shared" si="0"/>
        <v>446.45654000000059</v>
      </c>
      <c r="T7" s="145">
        <f>'Investissement locatif'!G43</f>
        <v>446.45654000000059</v>
      </c>
      <c r="U7" s="144">
        <f>IF('Investissement locatif'!$F$47=R7, 'Investissement locatif'!$F$48-'Investissement locatif'!$F$49-'Investissement locatif'!$F$50, 0)</f>
        <v>0</v>
      </c>
      <c r="V7" s="144">
        <f t="shared" si="3"/>
        <v>4</v>
      </c>
      <c r="W7" s="151">
        <f>IRR($S$3:S7,0.1)</f>
        <v>-0.69565154222780068</v>
      </c>
    </row>
    <row r="8" spans="1:23" x14ac:dyDescent="0.25">
      <c r="A8" s="144">
        <v>5</v>
      </c>
      <c r="B8" s="144">
        <v>0</v>
      </c>
      <c r="E8" s="144">
        <f>0.04*'Plus-value immobilière'!C22-0.15*(160000-'Plus-value immobilière'!C22)</f>
        <v>-4506</v>
      </c>
      <c r="I8" s="148" t="s">
        <v>82</v>
      </c>
      <c r="J8" s="148" t="s">
        <v>81</v>
      </c>
      <c r="K8" s="144">
        <v>5</v>
      </c>
      <c r="L8" s="144">
        <v>0</v>
      </c>
      <c r="O8" s="149">
        <f t="shared" si="1"/>
        <v>5</v>
      </c>
      <c r="P8" s="150">
        <f>'Prêt bien immobilier'!D71</f>
        <v>68481.64999999998</v>
      </c>
      <c r="R8" s="144">
        <f t="shared" si="2"/>
        <v>5</v>
      </c>
      <c r="S8" s="145">
        <f t="shared" si="0"/>
        <v>413.19942000000151</v>
      </c>
      <c r="T8" s="145">
        <f>'Investissement locatif'!H43</f>
        <v>413.19942000000151</v>
      </c>
      <c r="U8" s="144">
        <f>IF('Investissement locatif'!$F$47=R8, 'Investissement locatif'!$F$48-'Investissement locatif'!$F$49-'Investissement locatif'!$F$50, 0)</f>
        <v>0</v>
      </c>
      <c r="V8" s="144">
        <f t="shared" si="3"/>
        <v>5</v>
      </c>
      <c r="W8" s="151">
        <f>IRR($S$3:S8,0.1)</f>
        <v>-0.56909341051848483</v>
      </c>
    </row>
    <row r="9" spans="1:23" x14ac:dyDescent="0.25">
      <c r="A9" s="144">
        <v>6</v>
      </c>
      <c r="B9" s="144">
        <v>0.06</v>
      </c>
      <c r="E9" s="144">
        <f>0.04*'Plus-value immobilière'!C22</f>
        <v>4104</v>
      </c>
      <c r="I9" s="147" t="s">
        <v>80</v>
      </c>
      <c r="J9" s="147" t="s">
        <v>79</v>
      </c>
      <c r="K9" s="144">
        <v>6</v>
      </c>
      <c r="L9" s="144">
        <v>1.6500000000000001E-2</v>
      </c>
      <c r="O9" s="149">
        <f t="shared" si="1"/>
        <v>6</v>
      </c>
      <c r="P9" s="150">
        <f>'Prêt bien immobilier'!D83</f>
        <v>61967.349999999991</v>
      </c>
      <c r="R9" s="144">
        <f t="shared" si="2"/>
        <v>6</v>
      </c>
      <c r="S9" s="145">
        <f t="shared" si="0"/>
        <v>379.56942000000163</v>
      </c>
      <c r="T9" s="145">
        <f>'Investissement locatif'!I43</f>
        <v>379.56942000000163</v>
      </c>
      <c r="U9" s="144">
        <f>IF('Investissement locatif'!$F$47=R9, 'Investissement locatif'!$F$48-'Investissement locatif'!$F$49-'Investissement locatif'!$F$50, 0)</f>
        <v>0</v>
      </c>
      <c r="V9" s="144">
        <f t="shared" si="3"/>
        <v>6</v>
      </c>
      <c r="W9" s="151">
        <f>IRR($S$3:S9,0.1)</f>
        <v>-0.47495294598480819</v>
      </c>
    </row>
    <row r="10" spans="1:23" x14ac:dyDescent="0.25">
      <c r="A10" s="144">
        <v>7</v>
      </c>
      <c r="B10" s="144">
        <f t="shared" ref="B10:B24" si="4">B9+0.06</f>
        <v>0.12</v>
      </c>
      <c r="E10" s="144">
        <f>0.05*'Plus-value immobilière'!C22-0.2*(210000-'Plus-value immobilière'!C22)</f>
        <v>-16350</v>
      </c>
      <c r="I10" s="148" t="s">
        <v>78</v>
      </c>
      <c r="J10" s="148" t="s">
        <v>77</v>
      </c>
      <c r="K10" s="144">
        <v>7</v>
      </c>
      <c r="L10" s="144">
        <f t="shared" ref="L10:L24" si="5">L9+0.0165</f>
        <v>3.3000000000000002E-2</v>
      </c>
      <c r="O10" s="149">
        <f t="shared" si="1"/>
        <v>7</v>
      </c>
      <c r="P10" s="150">
        <f>'Prêt bien immobilier'!D95</f>
        <v>55381.049999999996</v>
      </c>
      <c r="R10" s="144">
        <f t="shared" si="2"/>
        <v>7</v>
      </c>
      <c r="S10" s="145">
        <f t="shared" si="0"/>
        <v>581.60142000000087</v>
      </c>
      <c r="T10" s="145">
        <f>'Investissement locatif'!J43</f>
        <v>581.60142000000087</v>
      </c>
      <c r="U10" s="144">
        <f>IF('Investissement locatif'!$F$47=R10, 'Investissement locatif'!$F$48-'Investissement locatif'!$F$49-'Investissement locatif'!$F$50, 0)</f>
        <v>0</v>
      </c>
      <c r="V10" s="144">
        <f t="shared" si="3"/>
        <v>7</v>
      </c>
      <c r="W10" s="151">
        <f>IRR($S$3:S10,0.1)</f>
        <v>-0.37498931383917822</v>
      </c>
    </row>
    <row r="11" spans="1:23" x14ac:dyDescent="0.25">
      <c r="A11" s="144">
        <v>8</v>
      </c>
      <c r="B11" s="144">
        <f t="shared" si="4"/>
        <v>0.18</v>
      </c>
      <c r="E11" s="144">
        <f>0.05*'Plus-value immobilière'!C22</f>
        <v>5130</v>
      </c>
      <c r="I11" s="147" t="s">
        <v>76</v>
      </c>
      <c r="J11" s="147" t="s">
        <v>75</v>
      </c>
      <c r="K11" s="144">
        <v>8</v>
      </c>
      <c r="L11" s="144">
        <f t="shared" si="5"/>
        <v>4.9500000000000002E-2</v>
      </c>
      <c r="O11" s="149">
        <f t="shared" si="1"/>
        <v>8</v>
      </c>
      <c r="P11" s="150">
        <f>'Prêt bien immobilier'!D107</f>
        <v>48721.919999999991</v>
      </c>
      <c r="R11" s="144">
        <f t="shared" si="2"/>
        <v>8</v>
      </c>
      <c r="S11" s="145">
        <f t="shared" si="0"/>
        <v>311.2096599999993</v>
      </c>
      <c r="T11" s="145">
        <f>'Investissement locatif'!K43</f>
        <v>311.2096599999993</v>
      </c>
      <c r="U11" s="144">
        <f>IF('Investissement locatif'!$F$47=R11, 'Investissement locatif'!$F$48-'Investissement locatif'!$F$49-'Investissement locatif'!$F$50, 0)</f>
        <v>0</v>
      </c>
      <c r="V11" s="144">
        <f t="shared" si="3"/>
        <v>8</v>
      </c>
      <c r="W11" s="151">
        <f>IRR($S$3:S11,0.1)</f>
        <v>-0.33275138609405741</v>
      </c>
    </row>
    <row r="12" spans="1:23" x14ac:dyDescent="0.25">
      <c r="A12" s="144">
        <v>9</v>
      </c>
      <c r="B12" s="144">
        <f t="shared" si="4"/>
        <v>0.24</v>
      </c>
      <c r="E12" s="144">
        <f>0.06*'Plus-value immobilière'!C22-0.2*(260000-'Plus-value immobilière'!C22)</f>
        <v>-25324</v>
      </c>
      <c r="I12" s="148" t="s">
        <v>74</v>
      </c>
      <c r="J12" s="148" t="s">
        <v>73</v>
      </c>
      <c r="K12" s="144">
        <v>9</v>
      </c>
      <c r="L12" s="144">
        <f t="shared" si="5"/>
        <v>6.6000000000000003E-2</v>
      </c>
      <c r="O12" s="149">
        <f t="shared" si="1"/>
        <v>9</v>
      </c>
      <c r="P12" s="150">
        <f>'Prêt bien immobilier'!D119</f>
        <v>41989.179999999993</v>
      </c>
      <c r="R12" s="144">
        <f t="shared" si="2"/>
        <v>9</v>
      </c>
      <c r="S12" s="145">
        <f t="shared" si="0"/>
        <v>169249.33574000001</v>
      </c>
      <c r="T12" s="145">
        <f>'Investissement locatif'!L43</f>
        <v>276.46574000000237</v>
      </c>
      <c r="U12" s="144">
        <f>IF('Investissement locatif'!$F$47=R12, 'Investissement locatif'!$F$48-'Investissement locatif'!$F$49-'Investissement locatif'!$F$50, 0)</f>
        <v>168972.87</v>
      </c>
      <c r="V12" s="144">
        <f t="shared" si="3"/>
        <v>9</v>
      </c>
      <c r="W12" s="151">
        <f>IRR($S$3:S12,0.1)</f>
        <v>0.32424022726776536</v>
      </c>
    </row>
    <row r="13" spans="1:23" x14ac:dyDescent="0.25">
      <c r="A13" s="144">
        <v>10</v>
      </c>
      <c r="B13" s="144">
        <f t="shared" si="4"/>
        <v>0.3</v>
      </c>
      <c r="E13" s="144">
        <f>0.06*'Plus-value immobilière'!C22</f>
        <v>6156</v>
      </c>
      <c r="I13" s="147" t="s">
        <v>72</v>
      </c>
      <c r="J13" s="147" t="s">
        <v>71</v>
      </c>
      <c r="K13" s="144">
        <v>10</v>
      </c>
      <c r="L13" s="144">
        <f t="shared" si="5"/>
        <v>8.2500000000000004E-2</v>
      </c>
      <c r="O13" s="149">
        <f t="shared" si="1"/>
        <v>10</v>
      </c>
      <c r="P13" s="150">
        <f>'Prêt bien immobilier'!D131</f>
        <v>35182.009999999995</v>
      </c>
      <c r="R13" s="144">
        <f t="shared" si="2"/>
        <v>10</v>
      </c>
      <c r="S13" s="145">
        <f t="shared" si="0"/>
        <v>241.33478000000082</v>
      </c>
      <c r="T13" s="145">
        <f>'Investissement locatif'!M43</f>
        <v>241.33478000000082</v>
      </c>
      <c r="U13" s="144">
        <f>IF('Investissement locatif'!$F$47=R13, 'Investissement locatif'!$F$48-'Investissement locatif'!$F$49-'Investissement locatif'!$F$50, 0)</f>
        <v>0</v>
      </c>
      <c r="V13" s="144">
        <f t="shared" si="3"/>
        <v>10</v>
      </c>
      <c r="W13" s="151">
        <f>IRR($S$3:S13,0.1)</f>
        <v>0.32441542084066977</v>
      </c>
    </row>
    <row r="14" spans="1:23" x14ac:dyDescent="0.25">
      <c r="A14" s="144">
        <v>11</v>
      </c>
      <c r="B14" s="144">
        <f t="shared" si="4"/>
        <v>0.36</v>
      </c>
      <c r="K14" s="144">
        <v>11</v>
      </c>
      <c r="L14" s="144">
        <f t="shared" si="5"/>
        <v>9.9000000000000005E-2</v>
      </c>
      <c r="O14" s="149">
        <f t="shared" si="1"/>
        <v>11</v>
      </c>
      <c r="P14" s="150">
        <f>'Prêt bien immobilier'!D143</f>
        <v>28299.579999999998</v>
      </c>
      <c r="R14" s="144">
        <f t="shared" si="2"/>
        <v>11</v>
      </c>
      <c r="S14" s="145">
        <f t="shared" si="0"/>
        <v>205.81206000000225</v>
      </c>
      <c r="T14" s="145">
        <f>'Investissement locatif'!N43</f>
        <v>205.81206000000225</v>
      </c>
      <c r="U14" s="144">
        <f>IF('Investissement locatif'!$F$47=R14, 'Investissement locatif'!$F$48-'Investissement locatif'!$F$49-'Investissement locatif'!$F$50, 0)</f>
        <v>0</v>
      </c>
      <c r="V14" s="144">
        <f t="shared" si="3"/>
        <v>11</v>
      </c>
      <c r="W14" s="151">
        <f>IRR($S$3:S14,0.1)</f>
        <v>0.32452810970992463</v>
      </c>
    </row>
    <row r="15" spans="1:23" x14ac:dyDescent="0.25">
      <c r="A15" s="144">
        <v>12</v>
      </c>
      <c r="B15" s="144">
        <f t="shared" si="4"/>
        <v>0.42</v>
      </c>
      <c r="K15" s="144">
        <v>12</v>
      </c>
      <c r="L15" s="144">
        <f t="shared" si="5"/>
        <v>0.11550000000000001</v>
      </c>
      <c r="O15" s="149">
        <f t="shared" si="1"/>
        <v>12</v>
      </c>
      <c r="P15" s="150">
        <f>'Prêt bien immobilier'!D155</f>
        <v>21341.049999999996</v>
      </c>
      <c r="R15" s="144">
        <f t="shared" si="2"/>
        <v>12</v>
      </c>
      <c r="S15" s="145">
        <f t="shared" si="0"/>
        <v>169.89286000000038</v>
      </c>
      <c r="T15" s="145">
        <f>'Investissement locatif'!O43</f>
        <v>169.89286000000038</v>
      </c>
      <c r="U15" s="144">
        <f>IF('Investissement locatif'!$F$47=R15, 'Investissement locatif'!$F$48-'Investissement locatif'!$F$49-'Investissement locatif'!$F$50, 0)</f>
        <v>0</v>
      </c>
      <c r="V15" s="144">
        <f t="shared" si="3"/>
        <v>12</v>
      </c>
      <c r="W15" s="151">
        <f>IRR($S$3:S15,0.1)</f>
        <v>0.32459828272035662</v>
      </c>
    </row>
    <row r="16" spans="1:23" x14ac:dyDescent="0.25">
      <c r="A16" s="144">
        <v>13</v>
      </c>
      <c r="B16" s="144">
        <f t="shared" si="4"/>
        <v>0.48</v>
      </c>
      <c r="K16" s="144">
        <v>13</v>
      </c>
      <c r="L16" s="144">
        <f t="shared" si="5"/>
        <v>0.13200000000000001</v>
      </c>
      <c r="O16" s="149">
        <f t="shared" si="1"/>
        <v>13</v>
      </c>
      <c r="P16" s="150">
        <f>'Prêt bien immobilier'!D167</f>
        <v>14305.59</v>
      </c>
      <c r="R16" s="144">
        <f t="shared" si="2"/>
        <v>13</v>
      </c>
      <c r="S16" s="145">
        <f t="shared" si="0"/>
        <v>-2241.4180999999971</v>
      </c>
      <c r="T16" s="145">
        <f>'Investissement locatif'!P43</f>
        <v>-2241.4180999999971</v>
      </c>
      <c r="U16" s="144">
        <f>IF('Investissement locatif'!$F$47=R16, 'Investissement locatif'!$F$48-'Investissement locatif'!$F$49-'Investissement locatif'!$F$50, 0)</f>
        <v>0</v>
      </c>
      <c r="V16" s="144">
        <f t="shared" si="3"/>
        <v>13</v>
      </c>
      <c r="W16" s="151">
        <f>IRR($S$3:S16,0.1)</f>
        <v>0.32389680580731017</v>
      </c>
    </row>
    <row r="17" spans="1:23" x14ac:dyDescent="0.25">
      <c r="A17" s="144">
        <v>14</v>
      </c>
      <c r="B17" s="144">
        <f t="shared" si="4"/>
        <v>0.54</v>
      </c>
      <c r="K17" s="144">
        <v>14</v>
      </c>
      <c r="L17" s="144">
        <f t="shared" si="5"/>
        <v>0.14850000000000002</v>
      </c>
      <c r="O17" s="149">
        <f t="shared" si="1"/>
        <v>14</v>
      </c>
      <c r="P17" s="150">
        <f>'Prêt bien immobilier'!D179</f>
        <v>7192.3499999999995</v>
      </c>
      <c r="R17" s="144">
        <f t="shared" si="2"/>
        <v>14</v>
      </c>
      <c r="S17" s="145">
        <f t="shared" si="0"/>
        <v>-2278.1302599999972</v>
      </c>
      <c r="T17" s="145">
        <f>'Investissement locatif'!Q43</f>
        <v>-2278.1302599999972</v>
      </c>
      <c r="U17" s="144">
        <f>IF('Investissement locatif'!$F$47=R17, 'Investissement locatif'!$F$48-'Investissement locatif'!$F$49-'Investissement locatif'!$F$50, 0)</f>
        <v>0</v>
      </c>
      <c r="V17" s="144">
        <f t="shared" si="3"/>
        <v>14</v>
      </c>
      <c r="W17" s="151">
        <f>IRR($S$3:S17,0.1)</f>
        <v>0.32335422156363736</v>
      </c>
    </row>
    <row r="18" spans="1:23" x14ac:dyDescent="0.25">
      <c r="A18" s="144">
        <v>15</v>
      </c>
      <c r="B18" s="144">
        <f t="shared" si="4"/>
        <v>0.60000000000000009</v>
      </c>
      <c r="K18" s="144">
        <v>15</v>
      </c>
      <c r="L18" s="144">
        <f t="shared" si="5"/>
        <v>0.16500000000000004</v>
      </c>
      <c r="O18" s="149">
        <f t="shared" si="1"/>
        <v>15</v>
      </c>
      <c r="P18" s="150" t="str">
        <f>'Prêt bien immobilier'!D191</f>
        <v/>
      </c>
      <c r="R18" s="144">
        <f t="shared" si="2"/>
        <v>15</v>
      </c>
      <c r="S18" s="145">
        <f t="shared" si="0"/>
        <v>-2315.7236199999988</v>
      </c>
      <c r="T18" s="145">
        <f>'Investissement locatif'!R43</f>
        <v>-2315.7236199999988</v>
      </c>
      <c r="U18" s="144">
        <f>IF('Investissement locatif'!$F$47=R18, 'Investissement locatif'!$F$48-'Investissement locatif'!$F$49-'Investissement locatif'!$F$50, 0)</f>
        <v>0</v>
      </c>
      <c r="V18" s="144">
        <f t="shared" si="3"/>
        <v>15</v>
      </c>
      <c r="W18" s="151">
        <f>IRR($S$3:S18,0.1)</f>
        <v>0.32293471829291986</v>
      </c>
    </row>
    <row r="19" spans="1:23" x14ac:dyDescent="0.25">
      <c r="A19" s="144">
        <v>16</v>
      </c>
      <c r="B19" s="144">
        <f t="shared" si="4"/>
        <v>0.66000000000000014</v>
      </c>
      <c r="K19" s="144">
        <v>16</v>
      </c>
      <c r="L19" s="144">
        <f t="shared" si="5"/>
        <v>0.18150000000000005</v>
      </c>
      <c r="O19" s="149">
        <f t="shared" si="1"/>
        <v>16</v>
      </c>
      <c r="P19" s="150" t="str">
        <f>'Prêt bien immobilier'!D203</f>
        <v/>
      </c>
      <c r="R19" s="144">
        <f t="shared" si="2"/>
        <v>16</v>
      </c>
      <c r="S19" s="145">
        <f t="shared" si="0"/>
        <v>0</v>
      </c>
      <c r="U19" s="144">
        <f>IF('Investissement locatif'!$F$47=R19, 'Investissement locatif'!$F$48-'Investissement locatif'!$F$49-'Investissement locatif'!$F$50, 0)</f>
        <v>0</v>
      </c>
      <c r="V19" s="144">
        <f t="shared" si="3"/>
        <v>16</v>
      </c>
      <c r="W19" s="151" t="str">
        <f>"Le simulateur ne prend pas en charge le TRI au-delà de 15 ans. Contactez nous si vous souhaitez un simulateur personnalisé."</f>
        <v>Le simulateur ne prend pas en charge le TRI au-delà de 15 ans. Contactez nous si vous souhaitez un simulateur personnalisé.</v>
      </c>
    </row>
    <row r="20" spans="1:23" x14ac:dyDescent="0.25">
      <c r="A20" s="144">
        <v>17</v>
      </c>
      <c r="B20" s="144">
        <f t="shared" si="4"/>
        <v>0.7200000000000002</v>
      </c>
      <c r="K20" s="144">
        <v>17</v>
      </c>
      <c r="L20" s="144">
        <f t="shared" si="5"/>
        <v>0.19800000000000006</v>
      </c>
      <c r="O20" s="149">
        <f t="shared" si="1"/>
        <v>17</v>
      </c>
      <c r="P20" s="150" t="str">
        <f>'Prêt bien immobilier'!D215</f>
        <v/>
      </c>
      <c r="R20" s="144">
        <f t="shared" si="2"/>
        <v>17</v>
      </c>
      <c r="S20" s="145">
        <f t="shared" si="0"/>
        <v>0</v>
      </c>
      <c r="U20" s="144">
        <f>IF('Investissement locatif'!$F$47=R20, 'Investissement locatif'!$F$48-'Investissement locatif'!$F$49-'Investissement locatif'!$F$50, 0)</f>
        <v>0</v>
      </c>
      <c r="V20" s="144">
        <f t="shared" si="3"/>
        <v>17</v>
      </c>
      <c r="W20" s="151" t="str">
        <f t="shared" ref="W20:W33" si="6">"Le simulateur ne prend pas en charge le TRI au-delà de 15 ans. Contactez nous si vous souhaitez un simulateur personnalisé."</f>
        <v>Le simulateur ne prend pas en charge le TRI au-delà de 15 ans. Contactez nous si vous souhaitez un simulateur personnalisé.</v>
      </c>
    </row>
    <row r="21" spans="1:23" x14ac:dyDescent="0.25">
      <c r="A21" s="144">
        <v>18</v>
      </c>
      <c r="B21" s="144">
        <f t="shared" si="4"/>
        <v>0.78000000000000025</v>
      </c>
      <c r="K21" s="144">
        <v>18</v>
      </c>
      <c r="L21" s="144">
        <f t="shared" si="5"/>
        <v>0.21450000000000008</v>
      </c>
      <c r="O21" s="149">
        <f t="shared" si="1"/>
        <v>18</v>
      </c>
      <c r="P21" s="150" t="str">
        <f>'Prêt bien immobilier'!D227</f>
        <v/>
      </c>
      <c r="R21" s="144">
        <f t="shared" si="2"/>
        <v>18</v>
      </c>
      <c r="S21" s="145">
        <f t="shared" si="0"/>
        <v>0</v>
      </c>
      <c r="U21" s="144">
        <f>IF('Investissement locatif'!$F$47=R21, 'Investissement locatif'!$F$48-'Investissement locatif'!$F$49-'Investissement locatif'!$F$50, 0)</f>
        <v>0</v>
      </c>
      <c r="V21" s="144">
        <f t="shared" si="3"/>
        <v>18</v>
      </c>
      <c r="W21" s="151" t="str">
        <f t="shared" si="6"/>
        <v>Le simulateur ne prend pas en charge le TRI au-delà de 15 ans. Contactez nous si vous souhaitez un simulateur personnalisé.</v>
      </c>
    </row>
    <row r="22" spans="1:23" x14ac:dyDescent="0.25">
      <c r="A22" s="144">
        <v>19</v>
      </c>
      <c r="B22" s="144">
        <f t="shared" si="4"/>
        <v>0.8400000000000003</v>
      </c>
      <c r="K22" s="144">
        <v>19</v>
      </c>
      <c r="L22" s="144">
        <f t="shared" si="5"/>
        <v>0.23100000000000009</v>
      </c>
      <c r="O22" s="149">
        <f t="shared" si="1"/>
        <v>19</v>
      </c>
      <c r="P22" s="150" t="str">
        <f>'Prêt bien immobilier'!D239</f>
        <v/>
      </c>
      <c r="R22" s="144">
        <f t="shared" si="2"/>
        <v>19</v>
      </c>
      <c r="S22" s="145">
        <f t="shared" si="0"/>
        <v>0</v>
      </c>
      <c r="U22" s="144">
        <f>IF('Investissement locatif'!$F$47=R22, 'Investissement locatif'!$F$48-'Investissement locatif'!$F$49-'Investissement locatif'!$F$50, 0)</f>
        <v>0</v>
      </c>
      <c r="V22" s="144">
        <f t="shared" si="3"/>
        <v>19</v>
      </c>
      <c r="W22" s="151" t="str">
        <f t="shared" si="6"/>
        <v>Le simulateur ne prend pas en charge le TRI au-delà de 15 ans. Contactez nous si vous souhaitez un simulateur personnalisé.</v>
      </c>
    </row>
    <row r="23" spans="1:23" x14ac:dyDescent="0.25">
      <c r="A23" s="144">
        <v>20</v>
      </c>
      <c r="B23" s="144">
        <f t="shared" si="4"/>
        <v>0.90000000000000036</v>
      </c>
      <c r="K23" s="144">
        <v>20</v>
      </c>
      <c r="L23" s="144">
        <f t="shared" si="5"/>
        <v>0.24750000000000011</v>
      </c>
      <c r="O23" s="149">
        <f t="shared" si="1"/>
        <v>20</v>
      </c>
      <c r="P23" s="150" t="str">
        <f>'Prêt bien immobilier'!D251</f>
        <v/>
      </c>
      <c r="R23" s="144">
        <f t="shared" si="2"/>
        <v>20</v>
      </c>
      <c r="S23" s="145">
        <f t="shared" si="0"/>
        <v>0</v>
      </c>
      <c r="U23" s="144">
        <f>IF('Investissement locatif'!$F$47=R23, 'Investissement locatif'!$F$48-'Investissement locatif'!$F$49-'Investissement locatif'!$F$50, 0)</f>
        <v>0</v>
      </c>
      <c r="V23" s="144">
        <f t="shared" si="3"/>
        <v>20</v>
      </c>
      <c r="W23" s="151" t="str">
        <f t="shared" si="6"/>
        <v>Le simulateur ne prend pas en charge le TRI au-delà de 15 ans. Contactez nous si vous souhaitez un simulateur personnalisé.</v>
      </c>
    </row>
    <row r="24" spans="1:23" x14ac:dyDescent="0.25">
      <c r="A24" s="144">
        <v>21</v>
      </c>
      <c r="B24" s="144">
        <f t="shared" si="4"/>
        <v>0.96000000000000041</v>
      </c>
      <c r="K24" s="144">
        <v>21</v>
      </c>
      <c r="L24" s="144">
        <f t="shared" si="5"/>
        <v>0.26400000000000012</v>
      </c>
      <c r="O24" s="149">
        <f t="shared" si="1"/>
        <v>21</v>
      </c>
      <c r="P24" s="150" t="str">
        <f>'Prêt bien immobilier'!D263</f>
        <v/>
      </c>
      <c r="R24" s="144">
        <f t="shared" si="2"/>
        <v>21</v>
      </c>
      <c r="S24" s="145">
        <f t="shared" si="0"/>
        <v>0</v>
      </c>
      <c r="U24" s="144">
        <f>IF('Investissement locatif'!$F$47=R24, 'Investissement locatif'!$F$48-'Investissement locatif'!$F$49-'Investissement locatif'!$F$50, 0)</f>
        <v>0</v>
      </c>
      <c r="V24" s="144">
        <f t="shared" si="3"/>
        <v>21</v>
      </c>
      <c r="W24" s="151" t="str">
        <f t="shared" si="6"/>
        <v>Le simulateur ne prend pas en charge le TRI au-delà de 15 ans. Contactez nous si vous souhaitez un simulateur personnalisé.</v>
      </c>
    </row>
    <row r="25" spans="1:23" x14ac:dyDescent="0.25">
      <c r="A25" s="144">
        <v>22</v>
      </c>
      <c r="B25" s="144">
        <f>B24+0.04</f>
        <v>1.0000000000000004</v>
      </c>
      <c r="K25" s="144">
        <v>22</v>
      </c>
      <c r="L25" s="144">
        <f>L24+0.016</f>
        <v>0.28000000000000014</v>
      </c>
      <c r="O25" s="149">
        <f t="shared" si="1"/>
        <v>22</v>
      </c>
      <c r="P25" s="150" t="str">
        <f>'Prêt bien immobilier'!D275</f>
        <v/>
      </c>
      <c r="R25" s="144">
        <f t="shared" si="2"/>
        <v>22</v>
      </c>
      <c r="S25" s="145">
        <f t="shared" si="0"/>
        <v>0</v>
      </c>
      <c r="U25" s="144">
        <f>IF('Investissement locatif'!$F$47=R25, 'Investissement locatif'!$F$48-'Investissement locatif'!$F$49-'Investissement locatif'!$F$50, 0)</f>
        <v>0</v>
      </c>
      <c r="V25" s="144">
        <f t="shared" si="3"/>
        <v>22</v>
      </c>
      <c r="W25" s="151" t="str">
        <f t="shared" si="6"/>
        <v>Le simulateur ne prend pas en charge le TRI au-delà de 15 ans. Contactez nous si vous souhaitez un simulateur personnalisé.</v>
      </c>
    </row>
    <row r="26" spans="1:23" x14ac:dyDescent="0.25">
      <c r="A26" s="144">
        <v>23</v>
      </c>
      <c r="B26" s="144">
        <f t="shared" ref="B26:B47" si="7">B25</f>
        <v>1.0000000000000004</v>
      </c>
      <c r="K26" s="144">
        <v>23</v>
      </c>
      <c r="L26" s="144">
        <f t="shared" ref="L26:L33" si="8">L25+0.09</f>
        <v>0.37000000000000011</v>
      </c>
      <c r="O26" s="149">
        <f t="shared" si="1"/>
        <v>23</v>
      </c>
      <c r="P26" s="150" t="str">
        <f>'Prêt bien immobilier'!D287</f>
        <v/>
      </c>
      <c r="R26" s="144">
        <f t="shared" si="2"/>
        <v>23</v>
      </c>
      <c r="S26" s="145">
        <f t="shared" si="0"/>
        <v>0</v>
      </c>
      <c r="U26" s="144">
        <f>IF('Investissement locatif'!$F$47=R26, 'Investissement locatif'!$F$48-'Investissement locatif'!$F$49-'Investissement locatif'!$F$50, 0)</f>
        <v>0</v>
      </c>
      <c r="V26" s="144">
        <f t="shared" si="3"/>
        <v>23</v>
      </c>
      <c r="W26" s="151" t="str">
        <f t="shared" si="6"/>
        <v>Le simulateur ne prend pas en charge le TRI au-delà de 15 ans. Contactez nous si vous souhaitez un simulateur personnalisé.</v>
      </c>
    </row>
    <row r="27" spans="1:23" x14ac:dyDescent="0.25">
      <c r="A27" s="144">
        <v>24</v>
      </c>
      <c r="B27" s="144">
        <f t="shared" si="7"/>
        <v>1.0000000000000004</v>
      </c>
      <c r="K27" s="144">
        <v>24</v>
      </c>
      <c r="L27" s="144">
        <f t="shared" si="8"/>
        <v>0.46000000000000008</v>
      </c>
      <c r="O27" s="149">
        <f t="shared" si="1"/>
        <v>24</v>
      </c>
      <c r="P27" s="150" t="str">
        <f>'Prêt bien immobilier'!D299</f>
        <v/>
      </c>
      <c r="R27" s="144">
        <f t="shared" si="2"/>
        <v>24</v>
      </c>
      <c r="S27" s="145">
        <f t="shared" si="0"/>
        <v>0</v>
      </c>
      <c r="U27" s="144">
        <f>IF('Investissement locatif'!$F$47=R27, 'Investissement locatif'!$F$48-'Investissement locatif'!$F$49-'Investissement locatif'!$F$50, 0)</f>
        <v>0</v>
      </c>
      <c r="V27" s="144">
        <f t="shared" si="3"/>
        <v>24</v>
      </c>
      <c r="W27" s="151" t="str">
        <f t="shared" si="6"/>
        <v>Le simulateur ne prend pas en charge le TRI au-delà de 15 ans. Contactez nous si vous souhaitez un simulateur personnalisé.</v>
      </c>
    </row>
    <row r="28" spans="1:23" x14ac:dyDescent="0.25">
      <c r="A28" s="144">
        <v>25</v>
      </c>
      <c r="B28" s="144">
        <f t="shared" si="7"/>
        <v>1.0000000000000004</v>
      </c>
      <c r="K28" s="144">
        <v>25</v>
      </c>
      <c r="L28" s="144">
        <f t="shared" si="8"/>
        <v>0.55000000000000004</v>
      </c>
      <c r="O28" s="149">
        <f t="shared" si="1"/>
        <v>25</v>
      </c>
      <c r="P28" s="150" t="str">
        <f>'Prêt bien immobilier'!D311</f>
        <v/>
      </c>
      <c r="R28" s="144">
        <f t="shared" si="2"/>
        <v>25</v>
      </c>
      <c r="S28" s="145">
        <f t="shared" si="0"/>
        <v>0</v>
      </c>
      <c r="U28" s="144">
        <f>IF('Investissement locatif'!$F$47=R28, 'Investissement locatif'!$F$48-'Investissement locatif'!$F$49-'Investissement locatif'!$F$50, 0)</f>
        <v>0</v>
      </c>
      <c r="V28" s="144">
        <f t="shared" si="3"/>
        <v>25</v>
      </c>
      <c r="W28" s="151" t="str">
        <f t="shared" si="6"/>
        <v>Le simulateur ne prend pas en charge le TRI au-delà de 15 ans. Contactez nous si vous souhaitez un simulateur personnalisé.</v>
      </c>
    </row>
    <row r="29" spans="1:23" x14ac:dyDescent="0.25">
      <c r="A29" s="144">
        <v>26</v>
      </c>
      <c r="B29" s="144">
        <f t="shared" si="7"/>
        <v>1.0000000000000004</v>
      </c>
      <c r="K29" s="144">
        <v>26</v>
      </c>
      <c r="L29" s="144">
        <f t="shared" si="8"/>
        <v>0.64</v>
      </c>
      <c r="O29" s="149">
        <f t="shared" si="1"/>
        <v>26</v>
      </c>
      <c r="P29" s="150" t="str">
        <f>'Prêt bien immobilier'!D323</f>
        <v/>
      </c>
      <c r="R29" s="144">
        <f t="shared" si="2"/>
        <v>26</v>
      </c>
      <c r="S29" s="145">
        <f t="shared" si="0"/>
        <v>0</v>
      </c>
      <c r="U29" s="144">
        <f>IF('Investissement locatif'!$F$47=R29, 'Investissement locatif'!$F$48-'Investissement locatif'!$F$49-'Investissement locatif'!$F$50, 0)</f>
        <v>0</v>
      </c>
      <c r="V29" s="144">
        <f t="shared" si="3"/>
        <v>26</v>
      </c>
      <c r="W29" s="151" t="str">
        <f t="shared" si="6"/>
        <v>Le simulateur ne prend pas en charge le TRI au-delà de 15 ans. Contactez nous si vous souhaitez un simulateur personnalisé.</v>
      </c>
    </row>
    <row r="30" spans="1:23" x14ac:dyDescent="0.25">
      <c r="A30" s="144">
        <v>27</v>
      </c>
      <c r="B30" s="144">
        <f t="shared" si="7"/>
        <v>1.0000000000000004</v>
      </c>
      <c r="K30" s="144">
        <v>27</v>
      </c>
      <c r="L30" s="144">
        <f t="shared" si="8"/>
        <v>0.73</v>
      </c>
      <c r="O30" s="149">
        <f t="shared" si="1"/>
        <v>27</v>
      </c>
      <c r="P30" s="150" t="str">
        <f>'Prêt bien immobilier'!D335</f>
        <v/>
      </c>
      <c r="R30" s="144">
        <f t="shared" si="2"/>
        <v>27</v>
      </c>
      <c r="S30" s="145">
        <f t="shared" si="0"/>
        <v>0</v>
      </c>
      <c r="U30" s="144">
        <f>IF('Investissement locatif'!$F$47=R30, 'Investissement locatif'!$F$48-'Investissement locatif'!$F$49-'Investissement locatif'!$F$50, 0)</f>
        <v>0</v>
      </c>
      <c r="V30" s="144">
        <f t="shared" si="3"/>
        <v>27</v>
      </c>
      <c r="W30" s="151" t="str">
        <f t="shared" si="6"/>
        <v>Le simulateur ne prend pas en charge le TRI au-delà de 15 ans. Contactez nous si vous souhaitez un simulateur personnalisé.</v>
      </c>
    </row>
    <row r="31" spans="1:23" x14ac:dyDescent="0.25">
      <c r="A31" s="144">
        <v>28</v>
      </c>
      <c r="B31" s="144">
        <f t="shared" si="7"/>
        <v>1.0000000000000004</v>
      </c>
      <c r="K31" s="144">
        <v>28</v>
      </c>
      <c r="L31" s="144">
        <f t="shared" si="8"/>
        <v>0.82</v>
      </c>
      <c r="O31" s="149">
        <f t="shared" si="1"/>
        <v>28</v>
      </c>
      <c r="P31" s="150" t="str">
        <f>'Prêt bien immobilier'!D347</f>
        <v/>
      </c>
      <c r="R31" s="144">
        <f t="shared" si="2"/>
        <v>28</v>
      </c>
      <c r="S31" s="145">
        <f t="shared" si="0"/>
        <v>0</v>
      </c>
      <c r="U31" s="144">
        <f>IF('Investissement locatif'!$F$47=R31, 'Investissement locatif'!$F$48-'Investissement locatif'!$F$49-'Investissement locatif'!$F$50, 0)</f>
        <v>0</v>
      </c>
      <c r="V31" s="144">
        <f t="shared" si="3"/>
        <v>28</v>
      </c>
      <c r="W31" s="151" t="str">
        <f t="shared" si="6"/>
        <v>Le simulateur ne prend pas en charge le TRI au-delà de 15 ans. Contactez nous si vous souhaitez un simulateur personnalisé.</v>
      </c>
    </row>
    <row r="32" spans="1:23" x14ac:dyDescent="0.25">
      <c r="A32" s="144">
        <v>29</v>
      </c>
      <c r="B32" s="144">
        <f t="shared" si="7"/>
        <v>1.0000000000000004</v>
      </c>
      <c r="K32" s="144">
        <v>29</v>
      </c>
      <c r="L32" s="144">
        <f t="shared" si="8"/>
        <v>0.90999999999999992</v>
      </c>
      <c r="O32" s="149">
        <f t="shared" si="1"/>
        <v>29</v>
      </c>
      <c r="P32" s="150" t="str">
        <f>'Prêt bien immobilier'!D359</f>
        <v/>
      </c>
      <c r="R32" s="144">
        <f t="shared" si="2"/>
        <v>29</v>
      </c>
      <c r="S32" s="145">
        <f t="shared" si="0"/>
        <v>0</v>
      </c>
      <c r="U32" s="144">
        <f>IF('Investissement locatif'!$F$47=R32, 'Investissement locatif'!$F$48-'Investissement locatif'!$F$49-'Investissement locatif'!$F$50, 0)</f>
        <v>0</v>
      </c>
      <c r="V32" s="144">
        <f t="shared" si="3"/>
        <v>29</v>
      </c>
      <c r="W32" s="151" t="str">
        <f t="shared" si="6"/>
        <v>Le simulateur ne prend pas en charge le TRI au-delà de 15 ans. Contactez nous si vous souhaitez un simulateur personnalisé.</v>
      </c>
    </row>
    <row r="33" spans="1:23" x14ac:dyDescent="0.25">
      <c r="A33" s="144">
        <v>30</v>
      </c>
      <c r="B33" s="144">
        <f t="shared" si="7"/>
        <v>1.0000000000000004</v>
      </c>
      <c r="K33" s="144">
        <v>30</v>
      </c>
      <c r="L33" s="144">
        <f t="shared" si="8"/>
        <v>0.99999999999999989</v>
      </c>
      <c r="O33" s="149">
        <f t="shared" si="1"/>
        <v>30</v>
      </c>
      <c r="P33" s="150">
        <f>'Prêt bien immobilier'!D371</f>
        <v>0</v>
      </c>
      <c r="R33" s="144">
        <f t="shared" si="2"/>
        <v>30</v>
      </c>
      <c r="S33" s="145">
        <f t="shared" si="0"/>
        <v>0</v>
      </c>
      <c r="U33" s="144">
        <f>IF('Investissement locatif'!$F$47=R33, 'Investissement locatif'!$F$48-'Investissement locatif'!$F$49-'Investissement locatif'!$F$50, 0)</f>
        <v>0</v>
      </c>
      <c r="V33" s="144">
        <f t="shared" si="3"/>
        <v>30</v>
      </c>
      <c r="W33" s="151" t="str">
        <f t="shared" si="6"/>
        <v>Le simulateur ne prend pas en charge le TRI au-delà de 15 ans. Contactez nous si vous souhaitez un simulateur personnalisé.</v>
      </c>
    </row>
    <row r="34" spans="1:23" x14ac:dyDescent="0.25">
      <c r="A34" s="144">
        <f t="shared" ref="A34:A47" si="9">A33+1</f>
        <v>31</v>
      </c>
      <c r="B34" s="144">
        <f t="shared" si="7"/>
        <v>1.0000000000000004</v>
      </c>
      <c r="K34" s="144">
        <f t="shared" ref="K34:K44" si="10">K33+1</f>
        <v>31</v>
      </c>
      <c r="L34" s="144">
        <f t="shared" ref="L34:L44" si="11">L33</f>
        <v>0.99999999999999989</v>
      </c>
    </row>
    <row r="35" spans="1:23" x14ac:dyDescent="0.25">
      <c r="A35" s="144">
        <f t="shared" si="9"/>
        <v>32</v>
      </c>
      <c r="B35" s="144">
        <f t="shared" si="7"/>
        <v>1.0000000000000004</v>
      </c>
      <c r="K35" s="144">
        <f t="shared" si="10"/>
        <v>32</v>
      </c>
      <c r="L35" s="144">
        <f t="shared" si="11"/>
        <v>0.99999999999999989</v>
      </c>
    </row>
    <row r="36" spans="1:23" x14ac:dyDescent="0.25">
      <c r="A36" s="144">
        <f t="shared" si="9"/>
        <v>33</v>
      </c>
      <c r="B36" s="144">
        <f t="shared" si="7"/>
        <v>1.0000000000000004</v>
      </c>
      <c r="K36" s="144">
        <f t="shared" si="10"/>
        <v>33</v>
      </c>
      <c r="L36" s="144">
        <f t="shared" si="11"/>
        <v>0.99999999999999989</v>
      </c>
    </row>
    <row r="37" spans="1:23" x14ac:dyDescent="0.25">
      <c r="A37" s="144">
        <f t="shared" si="9"/>
        <v>34</v>
      </c>
      <c r="B37" s="144">
        <f t="shared" si="7"/>
        <v>1.0000000000000004</v>
      </c>
      <c r="K37" s="144">
        <f t="shared" si="10"/>
        <v>34</v>
      </c>
      <c r="L37" s="144">
        <f t="shared" si="11"/>
        <v>0.99999999999999989</v>
      </c>
    </row>
    <row r="38" spans="1:23" x14ac:dyDescent="0.25">
      <c r="A38" s="144">
        <f t="shared" si="9"/>
        <v>35</v>
      </c>
      <c r="B38" s="144">
        <f t="shared" si="7"/>
        <v>1.0000000000000004</v>
      </c>
      <c r="K38" s="144">
        <f t="shared" si="10"/>
        <v>35</v>
      </c>
      <c r="L38" s="144">
        <f t="shared" si="11"/>
        <v>0.99999999999999989</v>
      </c>
    </row>
    <row r="39" spans="1:23" x14ac:dyDescent="0.25">
      <c r="A39" s="144">
        <f t="shared" si="9"/>
        <v>36</v>
      </c>
      <c r="B39" s="144">
        <f t="shared" si="7"/>
        <v>1.0000000000000004</v>
      </c>
      <c r="K39" s="144">
        <f t="shared" si="10"/>
        <v>36</v>
      </c>
      <c r="L39" s="144">
        <f t="shared" si="11"/>
        <v>0.99999999999999989</v>
      </c>
    </row>
    <row r="40" spans="1:23" x14ac:dyDescent="0.25">
      <c r="A40" s="144">
        <f t="shared" si="9"/>
        <v>37</v>
      </c>
      <c r="B40" s="144">
        <f t="shared" si="7"/>
        <v>1.0000000000000004</v>
      </c>
      <c r="K40" s="144">
        <f t="shared" si="10"/>
        <v>37</v>
      </c>
      <c r="L40" s="144">
        <f t="shared" si="11"/>
        <v>0.99999999999999989</v>
      </c>
    </row>
    <row r="41" spans="1:23" x14ac:dyDescent="0.25">
      <c r="A41" s="144">
        <f t="shared" si="9"/>
        <v>38</v>
      </c>
      <c r="B41" s="144">
        <f t="shared" si="7"/>
        <v>1.0000000000000004</v>
      </c>
      <c r="K41" s="144">
        <f t="shared" si="10"/>
        <v>38</v>
      </c>
      <c r="L41" s="144">
        <f t="shared" si="11"/>
        <v>0.99999999999999989</v>
      </c>
    </row>
    <row r="42" spans="1:23" x14ac:dyDescent="0.25">
      <c r="A42" s="144">
        <f t="shared" si="9"/>
        <v>39</v>
      </c>
      <c r="B42" s="144">
        <f t="shared" si="7"/>
        <v>1.0000000000000004</v>
      </c>
      <c r="K42" s="144">
        <f t="shared" si="10"/>
        <v>39</v>
      </c>
      <c r="L42" s="144">
        <f t="shared" si="11"/>
        <v>0.99999999999999989</v>
      </c>
    </row>
    <row r="43" spans="1:23" x14ac:dyDescent="0.25">
      <c r="A43" s="144">
        <f t="shared" si="9"/>
        <v>40</v>
      </c>
      <c r="B43" s="144">
        <f t="shared" si="7"/>
        <v>1.0000000000000004</v>
      </c>
      <c r="K43" s="144">
        <f t="shared" si="10"/>
        <v>40</v>
      </c>
      <c r="L43" s="144">
        <f t="shared" si="11"/>
        <v>0.99999999999999989</v>
      </c>
    </row>
    <row r="44" spans="1:23" x14ac:dyDescent="0.25">
      <c r="A44" s="144">
        <f t="shared" si="9"/>
        <v>41</v>
      </c>
      <c r="B44" s="144">
        <f t="shared" si="7"/>
        <v>1.0000000000000004</v>
      </c>
      <c r="K44" s="144">
        <f t="shared" si="10"/>
        <v>41</v>
      </c>
      <c r="L44" s="144">
        <f t="shared" si="11"/>
        <v>0.99999999999999989</v>
      </c>
    </row>
    <row r="45" spans="1:23" x14ac:dyDescent="0.25">
      <c r="A45" s="144">
        <f t="shared" si="9"/>
        <v>42</v>
      </c>
      <c r="B45" s="144">
        <f t="shared" si="7"/>
        <v>1.0000000000000004</v>
      </c>
    </row>
    <row r="46" spans="1:23" x14ac:dyDescent="0.25">
      <c r="A46" s="144">
        <f t="shared" si="9"/>
        <v>43</v>
      </c>
      <c r="B46" s="144">
        <f t="shared" si="7"/>
        <v>1.0000000000000004</v>
      </c>
    </row>
    <row r="47" spans="1:23" x14ac:dyDescent="0.25">
      <c r="A47" s="144">
        <f t="shared" si="9"/>
        <v>44</v>
      </c>
      <c r="B47" s="144">
        <f t="shared" si="7"/>
        <v>1.0000000000000004</v>
      </c>
    </row>
  </sheetData>
  <sheetProtection password="EC72" sheet="1" select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Investissement locatif</vt:lpstr>
      <vt:lpstr>Prêt bien immobilier</vt:lpstr>
      <vt:lpstr>Plus-value immobilière</vt:lpstr>
      <vt:lpstr>www.corrigetonimpot</vt:lpstr>
      <vt:lpstr>www.corrigetonimpot (2)</vt:lpstr>
      <vt:lpstr>wwww.corrigetonimpot.Fr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Tdiringe</dc:creator>
  <cp:lastModifiedBy>Thibault DIRINGER</cp:lastModifiedBy>
  <dcterms:created xsi:type="dcterms:W3CDTF">2016-01-07T14:08:27Z</dcterms:created>
  <dcterms:modified xsi:type="dcterms:W3CDTF">2023-11-19T22:44:13Z</dcterms:modified>
</cp:coreProperties>
</file>